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Land Analysis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/>
  <c r="K11"/>
  <c r="S11" s="1"/>
  <c r="Q11"/>
  <c r="I31"/>
  <c r="K31"/>
  <c r="Q31" s="1"/>
  <c r="S31"/>
  <c r="I18"/>
  <c r="K18"/>
  <c r="Q18" s="1"/>
  <c r="R18"/>
  <c r="S18"/>
  <c r="I24"/>
  <c r="K24"/>
  <c r="Q24"/>
  <c r="R24"/>
  <c r="S24"/>
  <c r="I5"/>
  <c r="K5"/>
  <c r="Q5" s="1"/>
  <c r="I15"/>
  <c r="K15"/>
  <c r="S15" s="1"/>
  <c r="I6"/>
  <c r="K6"/>
  <c r="Q6" s="1"/>
  <c r="R6"/>
  <c r="S6"/>
  <c r="I12"/>
  <c r="K12"/>
  <c r="Q12"/>
  <c r="R12"/>
  <c r="S12"/>
  <c r="I10"/>
  <c r="K10"/>
  <c r="S10" s="1"/>
  <c r="Q10"/>
  <c r="I17"/>
  <c r="K17"/>
  <c r="S17" s="1"/>
  <c r="I8"/>
  <c r="K8"/>
  <c r="Q8" s="1"/>
  <c r="R8"/>
  <c r="S8"/>
  <c r="I19"/>
  <c r="K19"/>
  <c r="Q19"/>
  <c r="R19"/>
  <c r="S19"/>
  <c r="I7"/>
  <c r="K7"/>
  <c r="S7" s="1"/>
  <c r="I3"/>
  <c r="K3"/>
  <c r="R3" s="1"/>
  <c r="S3"/>
  <c r="I29"/>
  <c r="K29"/>
  <c r="Q29" s="1"/>
  <c r="R29"/>
  <c r="S29"/>
  <c r="I14"/>
  <c r="K14"/>
  <c r="Q14"/>
  <c r="R14"/>
  <c r="S14"/>
  <c r="I22"/>
  <c r="K22"/>
  <c r="S22" s="1"/>
  <c r="I2"/>
  <c r="I34" s="1"/>
  <c r="K2"/>
  <c r="K32" s="1"/>
  <c r="S2"/>
  <c r="I13"/>
  <c r="K13"/>
  <c r="Q13" s="1"/>
  <c r="R13"/>
  <c r="S13"/>
  <c r="I4"/>
  <c r="K4"/>
  <c r="Q4"/>
  <c r="R4"/>
  <c r="S4"/>
  <c r="I16"/>
  <c r="K16"/>
  <c r="S16" s="1"/>
  <c r="I9"/>
  <c r="K9"/>
  <c r="R9" s="1"/>
  <c r="S9"/>
  <c r="I23"/>
  <c r="K23"/>
  <c r="Q23" s="1"/>
  <c r="R23"/>
  <c r="S23"/>
  <c r="I20"/>
  <c r="K20"/>
  <c r="Q20"/>
  <c r="R20"/>
  <c r="S20"/>
  <c r="I26"/>
  <c r="K26"/>
  <c r="S26" s="1"/>
  <c r="I21"/>
  <c r="K21"/>
  <c r="R21" s="1"/>
  <c r="S21"/>
  <c r="I27"/>
  <c r="K27"/>
  <c r="Q27" s="1"/>
  <c r="R27"/>
  <c r="S27"/>
  <c r="I28"/>
  <c r="K28"/>
  <c r="Q28"/>
  <c r="R28"/>
  <c r="S28"/>
  <c r="I30"/>
  <c r="K30"/>
  <c r="Q30" s="1"/>
  <c r="I25"/>
  <c r="K25"/>
  <c r="R25" s="1"/>
  <c r="S25"/>
  <c r="D32"/>
  <c r="G32"/>
  <c r="H32"/>
  <c r="J32"/>
  <c r="L32"/>
  <c r="M32"/>
  <c r="O32"/>
  <c r="P32"/>
  <c r="I33"/>
  <c r="S34" l="1"/>
  <c r="P34"/>
  <c r="M34"/>
  <c r="Q16"/>
  <c r="Q7"/>
  <c r="R30"/>
  <c r="Q21"/>
  <c r="R16"/>
  <c r="Q2"/>
  <c r="R7"/>
  <c r="Q17"/>
  <c r="R5"/>
  <c r="S30"/>
  <c r="R2"/>
  <c r="R17"/>
  <c r="S5"/>
  <c r="R31"/>
  <c r="Q22"/>
  <c r="R11"/>
  <c r="Q26"/>
  <c r="Q25"/>
  <c r="R26"/>
  <c r="Q9"/>
  <c r="R22"/>
  <c r="Q3"/>
  <c r="R10"/>
  <c r="Q15"/>
  <c r="R15"/>
</calcChain>
</file>

<file path=xl/sharedStrings.xml><?xml version="1.0" encoding="utf-8"?>
<sst xmlns="http://schemas.openxmlformats.org/spreadsheetml/2006/main" count="293" uniqueCount="153">
  <si>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</si>
  <si>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</si>
  <si>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</si>
  <si>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</si>
  <si>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</si>
  <si>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</si>
  <si>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</si>
  <si>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</si>
  <si>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</si>
  <si>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</si>
  <si>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</si>
  <si>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</si>
  <si>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</si>
  <si>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</si>
  <si>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</si>
  <si>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</si>
  <si>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</si>
  <si>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</si>
  <si>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</si>
  <si>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</si>
  <si>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</si>
  <si>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</si>
  <si>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</si>
  <si>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</si>
  <si>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</si>
  <si>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</si>
  <si>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</si>
  <si>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</si>
  <si>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</si>
  <si>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</si>
  <si>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</si>
  <si>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</si>
  <si>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</si>
  <si>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</si>
  <si>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</si>
  <si>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</si>
  <si>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</si>
  <si>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</si>
  <si>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</si>
  <si>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</si>
  <si>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</si>
  <si>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</si>
  <si>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</si>
  <si>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</si>
  <si>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PTA</t>
  </si>
  <si>
    <t>03-ARM'S LENGTH</t>
  </si>
  <si>
    <t>401</t>
  </si>
  <si>
    <t>047-104-005-00</t>
  </si>
  <si>
    <t>122 S SHERMAN ST</t>
  </si>
  <si>
    <t>VLRES</t>
  </si>
  <si>
    <t>VILLAGE LOT</t>
  </si>
  <si>
    <t>WD</t>
  </si>
  <si>
    <t>2023R-08233</t>
  </si>
  <si>
    <t>047-108-007-00</t>
  </si>
  <si>
    <t>214 N LINCOLN ST</t>
  </si>
  <si>
    <t>2024R-06338</t>
  </si>
  <si>
    <t>047-109-013-00</t>
  </si>
  <si>
    <t>124 N LINCOLN ST</t>
  </si>
  <si>
    <t>2024R-10742</t>
  </si>
  <si>
    <t>047-113-004-01</t>
  </si>
  <si>
    <t>204 WHITE ST</t>
  </si>
  <si>
    <t>2025R-00507</t>
  </si>
  <si>
    <t>047-115-005-00</t>
  </si>
  <si>
    <t>305 N WHITE ST</t>
  </si>
  <si>
    <t>2025R-03916</t>
  </si>
  <si>
    <t>047-120-007-50</t>
  </si>
  <si>
    <t>216 W WILLIAMS ST</t>
  </si>
  <si>
    <t>2024R-08022</t>
  </si>
  <si>
    <t>047-227-004-00</t>
  </si>
  <si>
    <t>421 S MUENSCHER ST</t>
  </si>
  <si>
    <t>MLC</t>
  </si>
  <si>
    <t>2025R-00603</t>
  </si>
  <si>
    <t>047-229-006-00</t>
  </si>
  <si>
    <t>2023R-12012</t>
  </si>
  <si>
    <t>001</t>
  </si>
  <si>
    <t>047-237-001-00</t>
  </si>
  <si>
    <t>404 E SHAW ST</t>
  </si>
  <si>
    <t>2023R-12083</t>
  </si>
  <si>
    <t>047-237-003-00</t>
  </si>
  <si>
    <t>412 E SHAW ST</t>
  </si>
  <si>
    <t>2023R-07080</t>
  </si>
  <si>
    <t>047-239-006-00</t>
  </si>
  <si>
    <t>533 EMORY ST</t>
  </si>
  <si>
    <t>2024R-08163</t>
  </si>
  <si>
    <t>047-240-009-50</t>
  </si>
  <si>
    <t>430 ORTON ST</t>
  </si>
  <si>
    <t>2023R-06179</t>
  </si>
  <si>
    <t>047-252-006-00</t>
  </si>
  <si>
    <t>509 W EDGERTON ST</t>
  </si>
  <si>
    <t>2023R-07439</t>
  </si>
  <si>
    <t>047-262-001-01</t>
  </si>
  <si>
    <t>W SHAW ST</t>
  </si>
  <si>
    <t>202</t>
  </si>
  <si>
    <t>2024R-07218</t>
  </si>
  <si>
    <t>047-266-002-00</t>
  </si>
  <si>
    <t>318 W CHESTNUT ST</t>
  </si>
  <si>
    <t>2023R-08993</t>
  </si>
  <si>
    <t>047-266-005-00</t>
  </si>
  <si>
    <t>304 S MUENSCHER ST</t>
  </si>
  <si>
    <t>2023R-07824</t>
  </si>
  <si>
    <t>047-289-014-00</t>
  </si>
  <si>
    <t>226 SPRUCE ST</t>
  </si>
  <si>
    <t>2024R-06178</t>
  </si>
  <si>
    <t>047-291-014-01</t>
  </si>
  <si>
    <t>19-MULTI PARCEL ARM'S LENGTH</t>
  </si>
  <si>
    <t>2024R-08969</t>
  </si>
  <si>
    <t>047-291-014-10</t>
  </si>
  <si>
    <t>047-295-006-50</t>
  </si>
  <si>
    <t>421 WILLOW ST</t>
  </si>
  <si>
    <t>2024R-00417</t>
  </si>
  <si>
    <t>047-296-001-00</t>
  </si>
  <si>
    <t>814 EMORY ST</t>
  </si>
  <si>
    <t>LC</t>
  </si>
  <si>
    <t>2024R-04919</t>
  </si>
  <si>
    <t>047-296-009-00</t>
  </si>
  <si>
    <t>815 E WALNUT ST</t>
  </si>
  <si>
    <t>2024R-00912</t>
  </si>
  <si>
    <t>047-297-001-00</t>
  </si>
  <si>
    <t>411 POPLAR ST</t>
  </si>
  <si>
    <t>2025R-00988</t>
  </si>
  <si>
    <t>047-297-001-50</t>
  </si>
  <si>
    <t>433 POPLAR ST</t>
  </si>
  <si>
    <t>2023R-08552</t>
  </si>
  <si>
    <t>047-302-004-00</t>
  </si>
  <si>
    <t>621 ORTON ST</t>
  </si>
  <si>
    <t>2025R-00656</t>
  </si>
  <si>
    <t>047-303-007-00</t>
  </si>
  <si>
    <t>669 WILLOW ST</t>
  </si>
  <si>
    <t>2023R-09297</t>
  </si>
  <si>
    <t>047-435-027-00</t>
  </si>
  <si>
    <t>206 E WALNUT ST</t>
  </si>
  <si>
    <t>2024R-06372</t>
  </si>
  <si>
    <t>047-435-686-03</t>
  </si>
  <si>
    <t>622 BIRCH RUN</t>
  </si>
  <si>
    <t>2025R-01309</t>
  </si>
  <si>
    <t>BIRCH RUN</t>
  </si>
  <si>
    <t>047-435-686-06</t>
  </si>
  <si>
    <t>610 BIRCH RUN</t>
  </si>
  <si>
    <t>2024R-01147</t>
  </si>
  <si>
    <t>047-435-686-08</t>
  </si>
  <si>
    <t>602 BIRCH RUN</t>
  </si>
  <si>
    <t>2024R-09265</t>
  </si>
  <si>
    <t>047-435-686-27</t>
  </si>
  <si>
    <t>605 SILVER BIRCH</t>
  </si>
  <si>
    <t>2023R-05820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</si>
  <si>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</si>
  <si>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</si>
  <si>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</si>
  <si>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</si>
  <si>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</si>
  <si>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</si>
  <si>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</si>
  <si>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THE VILLAGE $602 CALCULATED, $450 APPLIED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</si>
</sst>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7"/>
  <sheetViews>
    <sheetView tabSelected="1" workbookViewId="0">
      <selection activeCell="H36" sqref="H36"/>
    </sheetView>
  </sheetViews>
  <sheetFormatPr defaultRowHeight="14.25"/>
  <cols>
    <col min="1" max="1" width="14.375" bestFit="1" customWidth="1"/>
    <col min="2" max="2" width="19.375" bestFit="1" customWidth="1"/>
    <col min="3" max="3" width="9.625" style="26" bestFit="1" customWidth="1"/>
    <col min="4" max="4" width="10.875" style="16" bestFit="1" customWidth="1"/>
    <col min="5" max="5" width="5.75" bestFit="1" customWidth="1"/>
    <col min="6" max="6" width="29.375" bestFit="1" customWidth="1"/>
    <col min="7" max="7" width="10.875" style="16" bestFit="1" customWidth="1"/>
    <col min="8" max="8" width="14.75" style="16" bestFit="1" customWidth="1"/>
    <col min="9" max="9" width="12.75" style="21" bestFit="1" customWidth="1"/>
    <col min="10" max="11" width="13.75" style="16" bestFit="1" customWidth="1"/>
    <col min="12" max="12" width="14.75" style="16" bestFit="1" customWidth="1"/>
    <col min="13" max="13" width="11.375" style="31" bestFit="1" customWidth="1"/>
    <col min="14" max="14" width="6.625" style="35" bestFit="1" customWidth="1"/>
    <col min="15" max="15" width="14.25" style="40" bestFit="1" customWidth="1"/>
    <col min="16" max="16" width="10.875" style="40" bestFit="1" customWidth="1"/>
    <col min="17" max="17" width="10.125" style="16" bestFit="1" customWidth="1"/>
    <col min="18" max="18" width="12.125" style="16" bestFit="1" customWidth="1"/>
    <col min="19" max="19" width="12.125" style="45" bestFit="1" customWidth="1"/>
    <col min="20" max="20" width="11.75" style="40" bestFit="1" customWidth="1"/>
    <col min="21" max="21" width="9" style="5" bestFit="1" customWidth="1"/>
    <col min="22" max="22" width="11.875" bestFit="1" customWidth="1"/>
    <col min="23" max="23" width="19.875" bestFit="1" customWidth="1"/>
    <col min="24" max="24" width="11.625" bestFit="1" customWidth="1"/>
    <col min="25" max="25" width="6.875" bestFit="1" customWidth="1"/>
    <col min="26" max="26" width="6.375" bestFit="1" customWidth="1"/>
    <col min="27" max="27" width="15" bestFit="1" customWidth="1"/>
    <col min="28" max="28" width="9.75" bestFit="1" customWidth="1"/>
    <col min="29" max="29" width="6" bestFit="1" customWidth="1"/>
    <col min="30" max="32" width="12.625" bestFit="1" customWidth="1"/>
    <col min="33" max="33" width="19" bestFit="1" customWidth="1"/>
    <col min="34" max="34" width="7.25" bestFit="1" customWidth="1"/>
    <col min="35" max="35" width="13.125" bestFit="1" customWidth="1"/>
    <col min="36" max="36" width="6.625" bestFit="1" customWidth="1"/>
    <col min="37" max="37" width="20.375" bestFit="1" customWidth="1"/>
    <col min="38" max="38" width="17" bestFit="1" customWidth="1"/>
    <col min="39" max="39" width="15" bestFit="1" customWidth="1"/>
    <col min="40" max="40" width="10.875" bestFit="1" customWidth="1"/>
    <col min="41" max="41" width="16.75" bestFit="1" customWidth="1"/>
    <col min="42" max="42" width="21.375" bestFit="1" customWidth="1"/>
    <col min="43" max="43" width="21.125" bestFit="1" customWidth="1"/>
    <col min="44" max="44" width="17" bestFit="1" customWidth="1"/>
  </cols>
  <sheetData>
    <row r="1" spans="1:64" ht="15">
      <c r="A1" s="2" t="s">
        <v>0</v>
      </c>
      <c r="B1" s="2" t="s">
        <v>1</v>
      </c>
      <c r="C1" s="25" t="s">
        <v>2</v>
      </c>
      <c r="D1" s="15" t="s">
        <v>3</v>
      </c>
      <c r="E1" s="2" t="s">
        <v>4</v>
      </c>
      <c r="F1" s="2" t="s">
        <v>5</v>
      </c>
      <c r="G1" s="15" t="s">
        <v>6</v>
      </c>
      <c r="H1" s="15" t="s">
        <v>7</v>
      </c>
      <c r="I1" s="20" t="s">
        <v>8</v>
      </c>
      <c r="J1" s="15" t="s">
        <v>9</v>
      </c>
      <c r="K1" s="15" t="s">
        <v>10</v>
      </c>
      <c r="L1" s="15" t="s">
        <v>11</v>
      </c>
      <c r="M1" s="30" t="s">
        <v>12</v>
      </c>
      <c r="N1" s="34" t="s">
        <v>13</v>
      </c>
      <c r="O1" s="39" t="s">
        <v>14</v>
      </c>
      <c r="P1" s="39" t="s">
        <v>15</v>
      </c>
      <c r="Q1" s="15" t="s">
        <v>16</v>
      </c>
      <c r="R1" s="15" t="s">
        <v>17</v>
      </c>
      <c r="S1" s="44" t="s">
        <v>18</v>
      </c>
      <c r="T1" s="39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>
      <c r="A2" t="s">
        <v>103</v>
      </c>
      <c r="C2" s="26">
        <v>45565</v>
      </c>
      <c r="D2" s="16">
        <v>40000</v>
      </c>
      <c r="E2" t="s">
        <v>51</v>
      </c>
      <c r="F2" t="s">
        <v>104</v>
      </c>
      <c r="G2" s="16">
        <v>40000</v>
      </c>
      <c r="H2" s="16">
        <v>25400</v>
      </c>
      <c r="I2" s="21">
        <f t="shared" ref="I2:I31" si="0">H2/G2*100</f>
        <v>63.5</v>
      </c>
      <c r="J2" s="16">
        <v>50702</v>
      </c>
      <c r="K2" s="16">
        <f>G2-0</f>
        <v>40000</v>
      </c>
      <c r="L2" s="16">
        <v>50702</v>
      </c>
      <c r="M2" s="31">
        <v>126.75375099999999</v>
      </c>
      <c r="N2" s="35">
        <v>218.61000100000001</v>
      </c>
      <c r="O2" s="40">
        <v>0.55500000000000005</v>
      </c>
      <c r="P2" s="40">
        <v>0.312</v>
      </c>
      <c r="Q2" s="16">
        <f t="shared" ref="Q2:Q31" si="1">K2/M2</f>
        <v>315.57251508872508</v>
      </c>
      <c r="R2" s="16">
        <f t="shared" ref="R2:R31" si="2">K2/O2</f>
        <v>72072.072072072071</v>
      </c>
      <c r="S2" s="45">
        <f t="shared" ref="S2:S31" si="3">K2/O2/43560</f>
        <v>1.6545471090925636</v>
      </c>
      <c r="T2" s="40">
        <v>243.71</v>
      </c>
      <c r="U2" s="6" t="s">
        <v>49</v>
      </c>
      <c r="V2" t="s">
        <v>105</v>
      </c>
      <c r="W2" t="s">
        <v>106</v>
      </c>
      <c r="Y2">
        <v>0</v>
      </c>
      <c r="Z2">
        <v>1</v>
      </c>
      <c r="AA2" s="7">
        <v>1571140</v>
      </c>
      <c r="AC2" s="8" t="s">
        <v>74</v>
      </c>
      <c r="AD2" t="s">
        <v>50</v>
      </c>
    </row>
    <row r="3" spans="1:64">
      <c r="A3" t="s">
        <v>90</v>
      </c>
      <c r="B3" t="s">
        <v>91</v>
      </c>
      <c r="C3" s="26">
        <v>45497</v>
      </c>
      <c r="D3" s="16">
        <v>45000</v>
      </c>
      <c r="E3" t="s">
        <v>51</v>
      </c>
      <c r="F3" t="s">
        <v>45</v>
      </c>
      <c r="G3" s="16">
        <v>45000</v>
      </c>
      <c r="H3" s="16">
        <v>33700</v>
      </c>
      <c r="I3" s="21">
        <f t="shared" si="0"/>
        <v>74.8888888888889</v>
      </c>
      <c r="J3" s="16">
        <v>75880</v>
      </c>
      <c r="K3" s="16">
        <f>G3-0</f>
        <v>45000</v>
      </c>
      <c r="L3" s="16">
        <v>75880</v>
      </c>
      <c r="M3" s="31">
        <v>168.62285299999999</v>
      </c>
      <c r="N3" s="35">
        <v>433</v>
      </c>
      <c r="O3" s="40">
        <v>1.958</v>
      </c>
      <c r="P3" s="40">
        <v>1.958</v>
      </c>
      <c r="Q3" s="16">
        <f t="shared" si="1"/>
        <v>266.86774182382032</v>
      </c>
      <c r="R3" s="16">
        <f t="shared" si="2"/>
        <v>22982.635342185906</v>
      </c>
      <c r="S3" s="45">
        <f t="shared" si="3"/>
        <v>0.52760870849829899</v>
      </c>
      <c r="T3" s="40">
        <v>197</v>
      </c>
      <c r="U3" s="6" t="s">
        <v>49</v>
      </c>
      <c r="V3" t="s">
        <v>93</v>
      </c>
      <c r="Y3">
        <v>0</v>
      </c>
      <c r="Z3">
        <v>1</v>
      </c>
      <c r="AA3" s="7">
        <v>42237</v>
      </c>
      <c r="AC3" s="8" t="s">
        <v>92</v>
      </c>
      <c r="AD3" t="s">
        <v>50</v>
      </c>
    </row>
    <row r="4" spans="1:64">
      <c r="A4" t="s">
        <v>110</v>
      </c>
      <c r="B4" t="s">
        <v>111</v>
      </c>
      <c r="C4" s="26">
        <v>45434</v>
      </c>
      <c r="D4" s="16">
        <v>60000</v>
      </c>
      <c r="E4" t="s">
        <v>112</v>
      </c>
      <c r="F4" t="s">
        <v>45</v>
      </c>
      <c r="G4" s="16">
        <v>60000</v>
      </c>
      <c r="H4" s="16">
        <v>25000</v>
      </c>
      <c r="I4" s="21">
        <f t="shared" si="0"/>
        <v>41.666666666666671</v>
      </c>
      <c r="J4" s="16">
        <v>66090</v>
      </c>
      <c r="K4" s="16">
        <f>G4-42492</f>
        <v>17508</v>
      </c>
      <c r="L4" s="16">
        <v>23598</v>
      </c>
      <c r="M4" s="31">
        <v>52.440441999999997</v>
      </c>
      <c r="N4" s="35">
        <v>100</v>
      </c>
      <c r="O4" s="40">
        <v>0.189</v>
      </c>
      <c r="P4" s="40">
        <v>0.189</v>
      </c>
      <c r="Q4" s="16">
        <f t="shared" si="1"/>
        <v>333.86446285101869</v>
      </c>
      <c r="R4" s="16">
        <f t="shared" si="2"/>
        <v>92634.920634920636</v>
      </c>
      <c r="S4" s="45">
        <f t="shared" si="3"/>
        <v>2.1266051569081874</v>
      </c>
      <c r="T4" s="40">
        <v>82.5</v>
      </c>
      <c r="U4" s="6" t="s">
        <v>49</v>
      </c>
      <c r="V4" t="s">
        <v>113</v>
      </c>
      <c r="Y4">
        <v>0</v>
      </c>
      <c r="Z4">
        <v>1</v>
      </c>
      <c r="AA4" s="7">
        <v>42195</v>
      </c>
      <c r="AC4" s="8" t="s">
        <v>46</v>
      </c>
      <c r="AD4" t="s">
        <v>50</v>
      </c>
    </row>
    <row r="5" spans="1:64">
      <c r="A5" t="s">
        <v>62</v>
      </c>
      <c r="B5" t="s">
        <v>63</v>
      </c>
      <c r="C5" s="26">
        <v>45730</v>
      </c>
      <c r="D5" s="16">
        <v>100000</v>
      </c>
      <c r="E5" t="s">
        <v>51</v>
      </c>
      <c r="F5" t="s">
        <v>45</v>
      </c>
      <c r="G5" s="16">
        <v>100000</v>
      </c>
      <c r="H5" s="16">
        <v>52400</v>
      </c>
      <c r="I5" s="21">
        <f t="shared" si="0"/>
        <v>52.400000000000006</v>
      </c>
      <c r="J5" s="16">
        <v>116416</v>
      </c>
      <c r="K5" s="16">
        <f>G5-88859</f>
        <v>11141</v>
      </c>
      <c r="L5" s="16">
        <v>27557</v>
      </c>
      <c r="M5" s="31">
        <v>61.237243999999997</v>
      </c>
      <c r="N5" s="35">
        <v>150</v>
      </c>
      <c r="O5" s="40">
        <v>0.25800000000000001</v>
      </c>
      <c r="P5" s="40">
        <v>0.25800000000000001</v>
      </c>
      <c r="Q5" s="16">
        <f t="shared" si="1"/>
        <v>181.93176688356519</v>
      </c>
      <c r="R5" s="16">
        <f t="shared" si="2"/>
        <v>43182.170542635657</v>
      </c>
      <c r="S5" s="45">
        <f t="shared" si="3"/>
        <v>0.99132622916978086</v>
      </c>
      <c r="T5" s="40">
        <v>75</v>
      </c>
      <c r="U5" s="6" t="s">
        <v>49</v>
      </c>
      <c r="V5" t="s">
        <v>64</v>
      </c>
      <c r="Y5">
        <v>0</v>
      </c>
      <c r="Z5">
        <v>1</v>
      </c>
      <c r="AA5" s="7">
        <v>42144</v>
      </c>
      <c r="AC5" s="8" t="s">
        <v>46</v>
      </c>
      <c r="AD5" t="s">
        <v>50</v>
      </c>
    </row>
    <row r="6" spans="1:64">
      <c r="A6" t="s">
        <v>68</v>
      </c>
      <c r="B6" t="s">
        <v>69</v>
      </c>
      <c r="C6" s="26">
        <v>45674</v>
      </c>
      <c r="D6" s="16">
        <v>100000</v>
      </c>
      <c r="E6" t="s">
        <v>70</v>
      </c>
      <c r="F6" t="s">
        <v>45</v>
      </c>
      <c r="G6" s="16">
        <v>100000</v>
      </c>
      <c r="H6" s="16">
        <v>46600</v>
      </c>
      <c r="I6" s="21">
        <f t="shared" si="0"/>
        <v>46.6</v>
      </c>
      <c r="J6" s="16">
        <v>110190</v>
      </c>
      <c r="K6" s="16">
        <f>G6-65875</f>
        <v>34125</v>
      </c>
      <c r="L6" s="16">
        <v>44315</v>
      </c>
      <c r="M6" s="31">
        <v>98.476820000000004</v>
      </c>
      <c r="N6" s="35">
        <v>115.599998</v>
      </c>
      <c r="O6" s="40">
        <v>0.66800000000000004</v>
      </c>
      <c r="P6" s="40">
        <v>0.66800000000000004</v>
      </c>
      <c r="Q6" s="16">
        <f t="shared" si="1"/>
        <v>346.52824898285706</v>
      </c>
      <c r="R6" s="16">
        <f t="shared" si="2"/>
        <v>51085.32934131736</v>
      </c>
      <c r="S6" s="45">
        <f t="shared" si="3"/>
        <v>1.1727577902047144</v>
      </c>
      <c r="T6" s="40">
        <v>251.67</v>
      </c>
      <c r="U6" s="6" t="s">
        <v>49</v>
      </c>
      <c r="V6" t="s">
        <v>71</v>
      </c>
      <c r="Y6">
        <v>0</v>
      </c>
      <c r="Z6">
        <v>1</v>
      </c>
      <c r="AA6" s="7">
        <v>42178</v>
      </c>
      <c r="AC6" s="8" t="s">
        <v>46</v>
      </c>
      <c r="AD6" t="s">
        <v>50</v>
      </c>
    </row>
    <row r="7" spans="1:64">
      <c r="A7" t="s">
        <v>87</v>
      </c>
      <c r="B7" t="s">
        <v>88</v>
      </c>
      <c r="C7" s="26">
        <v>45128</v>
      </c>
      <c r="D7" s="16">
        <v>129900</v>
      </c>
      <c r="E7" t="s">
        <v>51</v>
      </c>
      <c r="F7" t="s">
        <v>45</v>
      </c>
      <c r="G7" s="16">
        <v>129900</v>
      </c>
      <c r="H7" s="16">
        <v>54000</v>
      </c>
      <c r="I7" s="21">
        <f t="shared" si="0"/>
        <v>41.570438799076214</v>
      </c>
      <c r="J7" s="16">
        <v>142425</v>
      </c>
      <c r="K7" s="16">
        <f>G7-109357</f>
        <v>20543</v>
      </c>
      <c r="L7" s="16">
        <v>33068</v>
      </c>
      <c r="M7" s="31">
        <v>73.484691999999995</v>
      </c>
      <c r="N7" s="35">
        <v>150</v>
      </c>
      <c r="O7" s="40">
        <v>0.372</v>
      </c>
      <c r="P7" s="40">
        <v>0.372</v>
      </c>
      <c r="Q7" s="16">
        <f t="shared" si="1"/>
        <v>279.55482211179441</v>
      </c>
      <c r="R7" s="16">
        <f t="shared" si="2"/>
        <v>55223.118279569891</v>
      </c>
      <c r="S7" s="45">
        <f t="shared" si="3"/>
        <v>1.2677483535254797</v>
      </c>
      <c r="T7" s="40">
        <v>108</v>
      </c>
      <c r="U7" s="6" t="s">
        <v>49</v>
      </c>
      <c r="V7" t="s">
        <v>89</v>
      </c>
      <c r="Y7">
        <v>0</v>
      </c>
      <c r="Z7">
        <v>1</v>
      </c>
      <c r="AA7" s="7">
        <v>42186</v>
      </c>
      <c r="AC7" s="8" t="s">
        <v>46</v>
      </c>
      <c r="AD7" t="s">
        <v>50</v>
      </c>
    </row>
    <row r="8" spans="1:64">
      <c r="A8" t="s">
        <v>81</v>
      </c>
      <c r="B8" t="s">
        <v>82</v>
      </c>
      <c r="C8" s="26">
        <v>45541</v>
      </c>
      <c r="D8" s="16">
        <v>139200</v>
      </c>
      <c r="E8" t="s">
        <v>51</v>
      </c>
      <c r="F8" t="s">
        <v>45</v>
      </c>
      <c r="G8" s="16">
        <v>139200</v>
      </c>
      <c r="H8" s="16">
        <v>51400</v>
      </c>
      <c r="I8" s="21">
        <f t="shared" si="0"/>
        <v>36.925287356321839</v>
      </c>
      <c r="J8" s="16">
        <v>115561</v>
      </c>
      <c r="K8" s="16">
        <f>G8-88004</f>
        <v>51196</v>
      </c>
      <c r="L8" s="16">
        <v>27557</v>
      </c>
      <c r="M8" s="31">
        <v>61.237243999999997</v>
      </c>
      <c r="N8" s="35">
        <v>125</v>
      </c>
      <c r="O8" s="40">
        <v>0.25800000000000001</v>
      </c>
      <c r="P8" s="40">
        <v>0.25800000000000001</v>
      </c>
      <c r="Q8" s="16">
        <f t="shared" si="1"/>
        <v>836.02717326730124</v>
      </c>
      <c r="R8" s="16">
        <f t="shared" si="2"/>
        <v>198434.10852713179</v>
      </c>
      <c r="S8" s="45">
        <f t="shared" si="3"/>
        <v>4.5554203059488474</v>
      </c>
      <c r="T8" s="40">
        <v>90</v>
      </c>
      <c r="U8" s="6" t="s">
        <v>49</v>
      </c>
      <c r="V8" t="s">
        <v>83</v>
      </c>
      <c r="Y8">
        <v>0</v>
      </c>
      <c r="Z8">
        <v>1</v>
      </c>
      <c r="AA8" s="7">
        <v>42181</v>
      </c>
      <c r="AC8" s="8" t="s">
        <v>46</v>
      </c>
      <c r="AD8" t="s">
        <v>50</v>
      </c>
    </row>
    <row r="9" spans="1:64">
      <c r="A9" t="s">
        <v>117</v>
      </c>
      <c r="B9" t="s">
        <v>118</v>
      </c>
      <c r="C9" s="26">
        <v>45686</v>
      </c>
      <c r="D9" s="16">
        <v>143000</v>
      </c>
      <c r="E9" t="s">
        <v>51</v>
      </c>
      <c r="F9" t="s">
        <v>45</v>
      </c>
      <c r="G9" s="16">
        <v>143000</v>
      </c>
      <c r="H9" s="16">
        <v>28800</v>
      </c>
      <c r="I9" s="21">
        <f t="shared" si="0"/>
        <v>20.13986013986014</v>
      </c>
      <c r="J9" s="16">
        <v>74355</v>
      </c>
      <c r="K9" s="16">
        <f>G9-39498</f>
        <v>103502</v>
      </c>
      <c r="L9" s="16">
        <v>34857</v>
      </c>
      <c r="M9" s="31">
        <v>77.459666999999996</v>
      </c>
      <c r="N9" s="35">
        <v>144</v>
      </c>
      <c r="O9" s="40">
        <v>0.41299999999999998</v>
      </c>
      <c r="P9" s="40">
        <v>0.41299999999999998</v>
      </c>
      <c r="Q9" s="16">
        <f t="shared" si="1"/>
        <v>1336.2050730220672</v>
      </c>
      <c r="R9" s="16">
        <f t="shared" si="2"/>
        <v>250610.16949152545</v>
      </c>
      <c r="S9" s="45">
        <f t="shared" si="3"/>
        <v>5.7532178487494363</v>
      </c>
      <c r="T9" s="40">
        <v>125</v>
      </c>
      <c r="U9" s="6" t="s">
        <v>49</v>
      </c>
      <c r="V9" t="s">
        <v>119</v>
      </c>
      <c r="Y9">
        <v>0</v>
      </c>
      <c r="Z9">
        <v>1</v>
      </c>
      <c r="AA9" s="7">
        <v>41582</v>
      </c>
      <c r="AC9" s="8" t="s">
        <v>46</v>
      </c>
      <c r="AD9" t="s">
        <v>50</v>
      </c>
    </row>
    <row r="10" spans="1:64">
      <c r="A10" t="s">
        <v>75</v>
      </c>
      <c r="B10" t="s">
        <v>76</v>
      </c>
      <c r="C10" s="26">
        <v>45274</v>
      </c>
      <c r="D10" s="16">
        <v>144000</v>
      </c>
      <c r="E10" t="s">
        <v>44</v>
      </c>
      <c r="F10" t="s">
        <v>45</v>
      </c>
      <c r="G10" s="16">
        <v>144000</v>
      </c>
      <c r="H10" s="16">
        <v>47700</v>
      </c>
      <c r="I10" s="21">
        <f t="shared" si="0"/>
        <v>33.125</v>
      </c>
      <c r="J10" s="16">
        <v>121903</v>
      </c>
      <c r="K10" s="16">
        <f>G10-100322</f>
        <v>43678</v>
      </c>
      <c r="L10" s="16">
        <v>21581</v>
      </c>
      <c r="M10" s="31">
        <v>47.958314999999999</v>
      </c>
      <c r="N10" s="35">
        <v>138</v>
      </c>
      <c r="O10" s="40">
        <v>0.158</v>
      </c>
      <c r="P10" s="40">
        <v>0.158</v>
      </c>
      <c r="Q10" s="16">
        <f t="shared" si="1"/>
        <v>910.74926214567802</v>
      </c>
      <c r="R10" s="16">
        <f t="shared" si="2"/>
        <v>276443.03797468357</v>
      </c>
      <c r="S10" s="45">
        <f t="shared" si="3"/>
        <v>6.3462589066731763</v>
      </c>
      <c r="T10" s="40">
        <v>50</v>
      </c>
      <c r="U10" s="6" t="s">
        <v>49</v>
      </c>
      <c r="V10" t="s">
        <v>77</v>
      </c>
      <c r="Y10">
        <v>0</v>
      </c>
      <c r="Z10">
        <v>1</v>
      </c>
      <c r="AA10" s="7">
        <v>42186</v>
      </c>
      <c r="AC10" s="8" t="s">
        <v>46</v>
      </c>
      <c r="AD10" t="s">
        <v>50</v>
      </c>
    </row>
    <row r="11" spans="1:64">
      <c r="A11" t="s">
        <v>47</v>
      </c>
      <c r="B11" t="s">
        <v>48</v>
      </c>
      <c r="C11" s="26">
        <v>45159</v>
      </c>
      <c r="D11" s="16">
        <v>149900</v>
      </c>
      <c r="E11" t="s">
        <v>51</v>
      </c>
      <c r="F11" t="s">
        <v>45</v>
      </c>
      <c r="G11" s="16">
        <v>149900</v>
      </c>
      <c r="H11" s="16">
        <v>60800</v>
      </c>
      <c r="I11" s="21">
        <f t="shared" si="0"/>
        <v>40.560373582388259</v>
      </c>
      <c r="J11" s="16">
        <v>164018</v>
      </c>
      <c r="K11" s="16">
        <f>G11-141072</f>
        <v>8828</v>
      </c>
      <c r="L11" s="16">
        <v>22946</v>
      </c>
      <c r="M11" s="31">
        <v>50.990195</v>
      </c>
      <c r="N11" s="35">
        <v>156</v>
      </c>
      <c r="O11" s="40">
        <v>0.17899999999999999</v>
      </c>
      <c r="P11" s="40">
        <v>0.17899999999999999</v>
      </c>
      <c r="Q11" s="16">
        <f t="shared" si="1"/>
        <v>173.13132456151618</v>
      </c>
      <c r="R11" s="16">
        <f t="shared" si="2"/>
        <v>49318.435754189944</v>
      </c>
      <c r="S11" s="45">
        <f t="shared" si="3"/>
        <v>1.1321954948161144</v>
      </c>
      <c r="T11" s="40">
        <v>50</v>
      </c>
      <c r="U11" s="6" t="s">
        <v>49</v>
      </c>
      <c r="V11" t="s">
        <v>52</v>
      </c>
      <c r="Y11">
        <v>0</v>
      </c>
      <c r="Z11">
        <v>1</v>
      </c>
      <c r="AA11" s="7">
        <v>42111</v>
      </c>
      <c r="AC11" s="8" t="s">
        <v>46</v>
      </c>
      <c r="AD11" t="s">
        <v>50</v>
      </c>
    </row>
    <row r="12" spans="1:64">
      <c r="A12" t="s">
        <v>72</v>
      </c>
      <c r="C12" s="26">
        <v>45275</v>
      </c>
      <c r="D12" s="16">
        <v>150000</v>
      </c>
      <c r="E12" t="s">
        <v>51</v>
      </c>
      <c r="F12" t="s">
        <v>45</v>
      </c>
      <c r="G12" s="16">
        <v>150000</v>
      </c>
      <c r="H12" s="16">
        <v>67500</v>
      </c>
      <c r="I12" s="21">
        <f t="shared" si="0"/>
        <v>45</v>
      </c>
      <c r="J12" s="16">
        <v>180691</v>
      </c>
      <c r="K12" s="16">
        <f>G12-139818</f>
        <v>10182</v>
      </c>
      <c r="L12" s="16">
        <v>40873</v>
      </c>
      <c r="M12" s="31">
        <v>90.829510999999997</v>
      </c>
      <c r="N12" s="35">
        <v>150</v>
      </c>
      <c r="O12" s="40">
        <v>0.56799999999999995</v>
      </c>
      <c r="P12" s="40">
        <v>0.56799999999999995</v>
      </c>
      <c r="Q12" s="16">
        <f t="shared" si="1"/>
        <v>112.10013009978663</v>
      </c>
      <c r="R12" s="16">
        <f t="shared" si="2"/>
        <v>17926.056338028171</v>
      </c>
      <c r="S12" s="45">
        <f t="shared" si="3"/>
        <v>0.41152562759476974</v>
      </c>
      <c r="T12" s="40">
        <v>165</v>
      </c>
      <c r="U12" s="6" t="s">
        <v>49</v>
      </c>
      <c r="V12" t="s">
        <v>73</v>
      </c>
      <c r="Y12">
        <v>0</v>
      </c>
      <c r="Z12">
        <v>1</v>
      </c>
      <c r="AA12" s="7">
        <v>42178</v>
      </c>
      <c r="AC12" s="8" t="s">
        <v>74</v>
      </c>
      <c r="AD12" t="s">
        <v>50</v>
      </c>
    </row>
    <row r="13" spans="1:64">
      <c r="A13" t="s">
        <v>107</v>
      </c>
      <c r="B13" t="s">
        <v>108</v>
      </c>
      <c r="C13" s="26">
        <v>45299</v>
      </c>
      <c r="D13" s="16">
        <v>154500</v>
      </c>
      <c r="E13" t="s">
        <v>51</v>
      </c>
      <c r="F13" t="s">
        <v>45</v>
      </c>
      <c r="G13" s="16">
        <v>154500</v>
      </c>
      <c r="H13" s="16">
        <v>38400</v>
      </c>
      <c r="I13" s="21">
        <f t="shared" si="0"/>
        <v>24.854368932038835</v>
      </c>
      <c r="J13" s="16">
        <v>108807</v>
      </c>
      <c r="K13" s="16">
        <f>G13-86307</f>
        <v>68193</v>
      </c>
      <c r="L13" s="16">
        <v>22500</v>
      </c>
      <c r="M13" s="31">
        <v>50</v>
      </c>
      <c r="N13" s="35">
        <v>100</v>
      </c>
      <c r="O13" s="40">
        <v>0.17199999999999999</v>
      </c>
      <c r="P13" s="40">
        <v>0.17199999999999999</v>
      </c>
      <c r="Q13" s="16">
        <f t="shared" si="1"/>
        <v>1363.86</v>
      </c>
      <c r="R13" s="16">
        <f t="shared" si="2"/>
        <v>396470.93023255817</v>
      </c>
      <c r="S13" s="45">
        <f t="shared" si="3"/>
        <v>9.1017201614453214</v>
      </c>
      <c r="T13" s="40">
        <v>75</v>
      </c>
      <c r="U13" s="6" t="s">
        <v>49</v>
      </c>
      <c r="V13" t="s">
        <v>109</v>
      </c>
      <c r="Y13">
        <v>0</v>
      </c>
      <c r="Z13">
        <v>1</v>
      </c>
      <c r="AA13" s="7">
        <v>42205</v>
      </c>
      <c r="AC13" s="8" t="s">
        <v>46</v>
      </c>
      <c r="AD13" t="s">
        <v>50</v>
      </c>
    </row>
    <row r="14" spans="1:64">
      <c r="A14" t="s">
        <v>97</v>
      </c>
      <c r="B14" t="s">
        <v>98</v>
      </c>
      <c r="C14" s="26">
        <v>45126</v>
      </c>
      <c r="D14" s="16">
        <v>155000</v>
      </c>
      <c r="E14" t="s">
        <v>51</v>
      </c>
      <c r="F14" t="s">
        <v>45</v>
      </c>
      <c r="G14" s="16">
        <v>155000</v>
      </c>
      <c r="H14" s="16">
        <v>62000</v>
      </c>
      <c r="I14" s="21">
        <f t="shared" si="0"/>
        <v>40</v>
      </c>
      <c r="J14" s="16">
        <v>164378</v>
      </c>
      <c r="K14" s="16">
        <f>G14-120749</f>
        <v>34251</v>
      </c>
      <c r="L14" s="16">
        <v>43629</v>
      </c>
      <c r="M14" s="31">
        <v>96.953597000000002</v>
      </c>
      <c r="N14" s="35">
        <v>300</v>
      </c>
      <c r="O14" s="40">
        <v>0.64700000000000002</v>
      </c>
      <c r="P14" s="40">
        <v>0.64700000000000002</v>
      </c>
      <c r="Q14" s="16">
        <f t="shared" si="1"/>
        <v>353.27209159656036</v>
      </c>
      <c r="R14" s="16">
        <f t="shared" si="2"/>
        <v>52938.176197836168</v>
      </c>
      <c r="S14" s="45">
        <f t="shared" si="3"/>
        <v>1.215293301144081</v>
      </c>
      <c r="T14" s="40">
        <v>94</v>
      </c>
      <c r="U14" s="6" t="s">
        <v>49</v>
      </c>
      <c r="V14" t="s">
        <v>99</v>
      </c>
      <c r="Y14">
        <v>0</v>
      </c>
      <c r="Z14">
        <v>1</v>
      </c>
      <c r="AA14" s="7">
        <v>42194</v>
      </c>
      <c r="AC14" s="8" t="s">
        <v>46</v>
      </c>
      <c r="AD14" t="s">
        <v>50</v>
      </c>
    </row>
    <row r="15" spans="1:64">
      <c r="A15" t="s">
        <v>65</v>
      </c>
      <c r="B15" t="s">
        <v>66</v>
      </c>
      <c r="C15" s="26">
        <v>45538</v>
      </c>
      <c r="D15" s="16">
        <v>158000</v>
      </c>
      <c r="E15" t="s">
        <v>51</v>
      </c>
      <c r="F15" t="s">
        <v>45</v>
      </c>
      <c r="G15" s="16">
        <v>158000</v>
      </c>
      <c r="H15" s="16">
        <v>31200</v>
      </c>
      <c r="I15" s="21">
        <f t="shared" si="0"/>
        <v>19.746835443037973</v>
      </c>
      <c r="J15" s="16">
        <v>71380</v>
      </c>
      <c r="K15" s="16">
        <f>G15-52368</f>
        <v>105632</v>
      </c>
      <c r="L15" s="16">
        <v>19012</v>
      </c>
      <c r="M15" s="31">
        <v>42.24926</v>
      </c>
      <c r="N15" s="35">
        <v>85</v>
      </c>
      <c r="O15" s="40">
        <v>0.123</v>
      </c>
      <c r="P15" s="40">
        <v>0.123</v>
      </c>
      <c r="Q15" s="16">
        <f t="shared" si="1"/>
        <v>2500.2094711244645</v>
      </c>
      <c r="R15" s="16">
        <f t="shared" si="2"/>
        <v>858796.74796747963</v>
      </c>
      <c r="S15" s="45">
        <f t="shared" si="3"/>
        <v>19.715260513486676</v>
      </c>
      <c r="T15" s="40">
        <v>63</v>
      </c>
      <c r="U15" s="6" t="s">
        <v>49</v>
      </c>
      <c r="V15" t="s">
        <v>67</v>
      </c>
      <c r="Y15">
        <v>0</v>
      </c>
      <c r="Z15">
        <v>1</v>
      </c>
      <c r="AA15" s="7">
        <v>42193</v>
      </c>
      <c r="AC15" s="8" t="s">
        <v>46</v>
      </c>
      <c r="AD15" t="s">
        <v>50</v>
      </c>
    </row>
    <row r="16" spans="1:64">
      <c r="A16" t="s">
        <v>114</v>
      </c>
      <c r="B16" t="s">
        <v>115</v>
      </c>
      <c r="C16" s="26">
        <v>45320</v>
      </c>
      <c r="D16" s="16">
        <v>167000</v>
      </c>
      <c r="E16" t="s">
        <v>51</v>
      </c>
      <c r="F16" t="s">
        <v>45</v>
      </c>
      <c r="G16" s="16">
        <v>167000</v>
      </c>
      <c r="H16" s="16">
        <v>70000</v>
      </c>
      <c r="I16" s="21">
        <f t="shared" si="0"/>
        <v>41.916167664670652</v>
      </c>
      <c r="J16" s="16">
        <v>179290</v>
      </c>
      <c r="K16" s="16">
        <f>G16-133179</f>
        <v>33821</v>
      </c>
      <c r="L16" s="16">
        <v>46111</v>
      </c>
      <c r="M16" s="31">
        <v>102.469508</v>
      </c>
      <c r="N16" s="35">
        <v>200</v>
      </c>
      <c r="O16" s="40">
        <v>0.72299999999999998</v>
      </c>
      <c r="P16" s="40">
        <v>0.72299999999999998</v>
      </c>
      <c r="Q16" s="16">
        <f t="shared" si="1"/>
        <v>330.05916257546585</v>
      </c>
      <c r="R16" s="16">
        <f t="shared" si="2"/>
        <v>46778.699861687412</v>
      </c>
      <c r="S16" s="45">
        <f t="shared" si="3"/>
        <v>1.0738911813977827</v>
      </c>
      <c r="T16" s="40">
        <v>157.5</v>
      </c>
      <c r="U16" s="6" t="s">
        <v>49</v>
      </c>
      <c r="V16" t="s">
        <v>116</v>
      </c>
      <c r="Y16">
        <v>0</v>
      </c>
      <c r="Z16">
        <v>1</v>
      </c>
      <c r="AA16" s="7">
        <v>42205</v>
      </c>
      <c r="AC16" s="8" t="s">
        <v>46</v>
      </c>
      <c r="AD16" t="s">
        <v>50</v>
      </c>
    </row>
    <row r="17" spans="1:44">
      <c r="A17" t="s">
        <v>78</v>
      </c>
      <c r="B17" t="s">
        <v>79</v>
      </c>
      <c r="C17" s="26">
        <v>45114</v>
      </c>
      <c r="D17" s="16">
        <v>172000</v>
      </c>
      <c r="E17" t="s">
        <v>51</v>
      </c>
      <c r="F17" t="s">
        <v>45</v>
      </c>
      <c r="G17" s="16">
        <v>172000</v>
      </c>
      <c r="H17" s="16">
        <v>52100</v>
      </c>
      <c r="I17" s="21">
        <f t="shared" si="0"/>
        <v>30.290697674418603</v>
      </c>
      <c r="J17" s="16">
        <v>133987</v>
      </c>
      <c r="K17" s="16">
        <f>G17-110532</f>
        <v>61468</v>
      </c>
      <c r="L17" s="16">
        <v>23455</v>
      </c>
      <c r="M17" s="31">
        <v>52.121653000000002</v>
      </c>
      <c r="N17" s="35">
        <v>163</v>
      </c>
      <c r="O17" s="40">
        <v>0.187</v>
      </c>
      <c r="P17" s="40">
        <v>0.187</v>
      </c>
      <c r="Q17" s="16">
        <f t="shared" si="1"/>
        <v>1179.3179314554739</v>
      </c>
      <c r="R17" s="16">
        <f t="shared" si="2"/>
        <v>328705.8823529412</v>
      </c>
      <c r="S17" s="45">
        <f t="shared" si="3"/>
        <v>7.5460487225193118</v>
      </c>
      <c r="T17" s="40">
        <v>50</v>
      </c>
      <c r="U17" s="6" t="s">
        <v>49</v>
      </c>
      <c r="V17" t="s">
        <v>80</v>
      </c>
      <c r="Y17">
        <v>0</v>
      </c>
      <c r="Z17">
        <v>1</v>
      </c>
      <c r="AA17" s="7">
        <v>42186</v>
      </c>
      <c r="AC17" s="8" t="s">
        <v>46</v>
      </c>
      <c r="AD17" t="s">
        <v>50</v>
      </c>
    </row>
    <row r="18" spans="1:44">
      <c r="A18" t="s">
        <v>56</v>
      </c>
      <c r="B18" t="s">
        <v>57</v>
      </c>
      <c r="C18" s="26">
        <v>45618</v>
      </c>
      <c r="D18" s="16">
        <v>175000</v>
      </c>
      <c r="E18" t="s">
        <v>51</v>
      </c>
      <c r="F18" t="s">
        <v>45</v>
      </c>
      <c r="G18" s="16">
        <v>175000</v>
      </c>
      <c r="H18" s="16">
        <v>55500</v>
      </c>
      <c r="I18" s="21">
        <f t="shared" si="0"/>
        <v>31.714285714285712</v>
      </c>
      <c r="J18" s="16">
        <v>127157</v>
      </c>
      <c r="K18" s="16">
        <f>G18-104807</f>
        <v>70193</v>
      </c>
      <c r="L18" s="16">
        <v>22350</v>
      </c>
      <c r="M18" s="31">
        <v>49.665548000000001</v>
      </c>
      <c r="N18" s="35">
        <v>148</v>
      </c>
      <c r="O18" s="40">
        <v>0.17</v>
      </c>
      <c r="P18" s="40">
        <v>0.17</v>
      </c>
      <c r="Q18" s="16">
        <f t="shared" si="1"/>
        <v>1413.3137119517939</v>
      </c>
      <c r="R18" s="16">
        <f t="shared" si="2"/>
        <v>412899.99999999994</v>
      </c>
      <c r="S18" s="45">
        <f t="shared" si="3"/>
        <v>9.4788797061524317</v>
      </c>
      <c r="T18" s="40">
        <v>50</v>
      </c>
      <c r="U18" s="6" t="s">
        <v>49</v>
      </c>
      <c r="V18" t="s">
        <v>58</v>
      </c>
      <c r="Y18">
        <v>0</v>
      </c>
      <c r="Z18">
        <v>1</v>
      </c>
      <c r="AA18" s="7">
        <v>42124</v>
      </c>
      <c r="AC18" s="8" t="s">
        <v>46</v>
      </c>
      <c r="AD18" t="s">
        <v>50</v>
      </c>
    </row>
    <row r="19" spans="1:44">
      <c r="A19" t="s">
        <v>84</v>
      </c>
      <c r="B19" t="s">
        <v>85</v>
      </c>
      <c r="C19" s="26">
        <v>45093</v>
      </c>
      <c r="D19" s="16">
        <v>185900</v>
      </c>
      <c r="E19" t="s">
        <v>51</v>
      </c>
      <c r="F19" t="s">
        <v>45</v>
      </c>
      <c r="G19" s="16">
        <v>185900</v>
      </c>
      <c r="H19" s="16">
        <v>68900</v>
      </c>
      <c r="I19" s="21">
        <f t="shared" si="0"/>
        <v>37.06293706293706</v>
      </c>
      <c r="J19" s="16">
        <v>172812</v>
      </c>
      <c r="K19" s="16">
        <f>G19-115426</f>
        <v>70474</v>
      </c>
      <c r="L19" s="16">
        <v>57386</v>
      </c>
      <c r="M19" s="31">
        <v>127.52411499999999</v>
      </c>
      <c r="N19" s="35">
        <v>385</v>
      </c>
      <c r="O19" s="40">
        <v>1.1200000000000001</v>
      </c>
      <c r="P19" s="40">
        <v>1.1200000000000001</v>
      </c>
      <c r="Q19" s="16">
        <f t="shared" si="1"/>
        <v>552.6327314641627</v>
      </c>
      <c r="R19" s="16">
        <f t="shared" si="2"/>
        <v>62923.214285714283</v>
      </c>
      <c r="S19" s="45">
        <f t="shared" si="3"/>
        <v>1.4445182342909615</v>
      </c>
      <c r="T19" s="40">
        <v>126.72</v>
      </c>
      <c r="U19" s="6" t="s">
        <v>49</v>
      </c>
      <c r="V19" t="s">
        <v>86</v>
      </c>
      <c r="Y19">
        <v>0</v>
      </c>
      <c r="Z19">
        <v>1</v>
      </c>
      <c r="AA19" s="7">
        <v>42181</v>
      </c>
      <c r="AC19" s="8" t="s">
        <v>46</v>
      </c>
      <c r="AD19" t="s">
        <v>50</v>
      </c>
    </row>
    <row r="20" spans="1:44">
      <c r="A20" t="s">
        <v>123</v>
      </c>
      <c r="B20" t="s">
        <v>124</v>
      </c>
      <c r="C20" s="26">
        <v>45674</v>
      </c>
      <c r="D20" s="16">
        <v>190000</v>
      </c>
      <c r="E20" t="s">
        <v>51</v>
      </c>
      <c r="F20" t="s">
        <v>45</v>
      </c>
      <c r="G20" s="16">
        <v>190000</v>
      </c>
      <c r="H20" s="16">
        <v>77500</v>
      </c>
      <c r="I20" s="21">
        <f t="shared" si="0"/>
        <v>40.789473684210527</v>
      </c>
      <c r="J20" s="16">
        <v>172400</v>
      </c>
      <c r="K20" s="16">
        <f>G20-140580</f>
        <v>49420</v>
      </c>
      <c r="L20" s="16">
        <v>31820</v>
      </c>
      <c r="M20" s="31">
        <v>70.710678000000001</v>
      </c>
      <c r="N20" s="35">
        <v>150</v>
      </c>
      <c r="O20" s="40">
        <v>0.34399999999999997</v>
      </c>
      <c r="P20" s="40">
        <v>0.34399999999999997</v>
      </c>
      <c r="Q20" s="16">
        <f t="shared" si="1"/>
        <v>698.90434369756713</v>
      </c>
      <c r="R20" s="16">
        <f t="shared" si="2"/>
        <v>143662.79069767444</v>
      </c>
      <c r="S20" s="45">
        <f t="shared" si="3"/>
        <v>3.2980438635829761</v>
      </c>
      <c r="T20" s="40">
        <v>100</v>
      </c>
      <c r="U20" s="6" t="s">
        <v>49</v>
      </c>
      <c r="V20" t="s">
        <v>125</v>
      </c>
      <c r="Y20">
        <v>0</v>
      </c>
      <c r="Z20">
        <v>1</v>
      </c>
      <c r="AA20" s="7">
        <v>42249</v>
      </c>
      <c r="AC20" s="8" t="s">
        <v>46</v>
      </c>
      <c r="AD20" t="s">
        <v>50</v>
      </c>
    </row>
    <row r="21" spans="1:44">
      <c r="A21" t="s">
        <v>129</v>
      </c>
      <c r="B21" t="s">
        <v>130</v>
      </c>
      <c r="C21" s="26">
        <v>45485</v>
      </c>
      <c r="D21" s="16">
        <v>210000</v>
      </c>
      <c r="E21" t="s">
        <v>51</v>
      </c>
      <c r="F21" t="s">
        <v>45</v>
      </c>
      <c r="G21" s="16">
        <v>210000</v>
      </c>
      <c r="H21" s="16">
        <v>66600</v>
      </c>
      <c r="I21" s="21">
        <f t="shared" si="0"/>
        <v>31.714285714285712</v>
      </c>
      <c r="J21" s="16">
        <v>145975</v>
      </c>
      <c r="K21" s="16">
        <f>G21-100400</f>
        <v>109600</v>
      </c>
      <c r="L21" s="16">
        <v>45575</v>
      </c>
      <c r="M21" s="31">
        <v>101.27726</v>
      </c>
      <c r="N21" s="35">
        <v>257.5</v>
      </c>
      <c r="O21" s="40">
        <v>0.70599999999999996</v>
      </c>
      <c r="P21" s="40">
        <v>0.70599999999999996</v>
      </c>
      <c r="Q21" s="16">
        <f t="shared" si="1"/>
        <v>1082.1777761365188</v>
      </c>
      <c r="R21" s="16">
        <f t="shared" si="2"/>
        <v>155240.79320113314</v>
      </c>
      <c r="S21" s="45">
        <f t="shared" si="3"/>
        <v>3.5638382277578775</v>
      </c>
      <c r="T21" s="40">
        <v>119.5</v>
      </c>
      <c r="U21" s="6" t="s">
        <v>49</v>
      </c>
      <c r="V21" t="s">
        <v>131</v>
      </c>
      <c r="Y21">
        <v>0</v>
      </c>
      <c r="Z21">
        <v>1</v>
      </c>
      <c r="AA21" s="7">
        <v>42529</v>
      </c>
      <c r="AC21" s="8" t="s">
        <v>46</v>
      </c>
      <c r="AD21" t="s">
        <v>50</v>
      </c>
    </row>
    <row r="22" spans="1:44">
      <c r="A22" t="s">
        <v>100</v>
      </c>
      <c r="B22" t="s">
        <v>101</v>
      </c>
      <c r="C22" s="26">
        <v>45475</v>
      </c>
      <c r="D22" s="16">
        <v>225000</v>
      </c>
      <c r="E22" t="s">
        <v>51</v>
      </c>
      <c r="F22" t="s">
        <v>45</v>
      </c>
      <c r="G22" s="16">
        <v>225000</v>
      </c>
      <c r="H22" s="16">
        <v>73600</v>
      </c>
      <c r="I22" s="21">
        <f t="shared" si="0"/>
        <v>32.711111111111116</v>
      </c>
      <c r="J22" s="16">
        <v>168563</v>
      </c>
      <c r="K22" s="16">
        <f>G22-136743</f>
        <v>88257</v>
      </c>
      <c r="L22" s="16">
        <v>31820</v>
      </c>
      <c r="M22" s="31">
        <v>70.710678000000001</v>
      </c>
      <c r="N22" s="35">
        <v>120</v>
      </c>
      <c r="O22" s="40">
        <v>0.34399999999999997</v>
      </c>
      <c r="P22" s="40">
        <v>0.34399999999999997</v>
      </c>
      <c r="Q22" s="16">
        <f t="shared" si="1"/>
        <v>1248.1424658380449</v>
      </c>
      <c r="R22" s="16">
        <f t="shared" si="2"/>
        <v>256561.04651162794</v>
      </c>
      <c r="S22" s="45">
        <f t="shared" si="3"/>
        <v>5.8898311871356279</v>
      </c>
      <c r="T22" s="40">
        <v>125</v>
      </c>
      <c r="U22" s="6" t="s">
        <v>49</v>
      </c>
      <c r="V22" t="s">
        <v>102</v>
      </c>
      <c r="Y22">
        <v>0</v>
      </c>
      <c r="Z22">
        <v>1</v>
      </c>
      <c r="AA22" s="7">
        <v>42237</v>
      </c>
      <c r="AC22" s="8" t="s">
        <v>46</v>
      </c>
      <c r="AD22" t="s">
        <v>50</v>
      </c>
    </row>
    <row r="23" spans="1:44">
      <c r="A23" t="s">
        <v>120</v>
      </c>
      <c r="B23" t="s">
        <v>121</v>
      </c>
      <c r="C23" s="26">
        <v>45160</v>
      </c>
      <c r="D23" s="16">
        <v>225000</v>
      </c>
      <c r="E23" t="s">
        <v>51</v>
      </c>
      <c r="F23" t="s">
        <v>45</v>
      </c>
      <c r="G23" s="16">
        <v>225000</v>
      </c>
      <c r="H23" s="16">
        <v>59800</v>
      </c>
      <c r="I23" s="21">
        <f t="shared" si="0"/>
        <v>26.577777777777779</v>
      </c>
      <c r="J23" s="16">
        <v>165856</v>
      </c>
      <c r="K23" s="16">
        <f>G23-115847</f>
        <v>109153</v>
      </c>
      <c r="L23" s="16">
        <v>50009</v>
      </c>
      <c r="M23" s="31">
        <v>111.130554</v>
      </c>
      <c r="N23" s="35">
        <v>247</v>
      </c>
      <c r="O23" s="40">
        <v>0.85099999999999998</v>
      </c>
      <c r="P23" s="40">
        <v>0.85099999999999998</v>
      </c>
      <c r="Q23" s="16">
        <f t="shared" si="1"/>
        <v>982.2051278534974</v>
      </c>
      <c r="R23" s="16">
        <f t="shared" si="2"/>
        <v>128264.39482961223</v>
      </c>
      <c r="S23" s="45">
        <f t="shared" si="3"/>
        <v>2.9445453358496838</v>
      </c>
      <c r="T23" s="40">
        <v>150</v>
      </c>
      <c r="U23" s="6" t="s">
        <v>49</v>
      </c>
      <c r="V23" t="s">
        <v>122</v>
      </c>
      <c r="Y23">
        <v>0</v>
      </c>
      <c r="Z23">
        <v>1</v>
      </c>
      <c r="AA23" s="7">
        <v>42205</v>
      </c>
      <c r="AC23" s="8" t="s">
        <v>46</v>
      </c>
      <c r="AD23" t="s">
        <v>50</v>
      </c>
    </row>
    <row r="24" spans="1:44">
      <c r="A24" t="s">
        <v>59</v>
      </c>
      <c r="B24" t="s">
        <v>60</v>
      </c>
      <c r="C24" s="26">
        <v>45658</v>
      </c>
      <c r="D24" s="16">
        <v>230000</v>
      </c>
      <c r="E24" t="s">
        <v>51</v>
      </c>
      <c r="F24" t="s">
        <v>45</v>
      </c>
      <c r="G24" s="16">
        <v>230000</v>
      </c>
      <c r="H24" s="16">
        <v>97100</v>
      </c>
      <c r="I24" s="21">
        <f t="shared" si="0"/>
        <v>42.217391304347828</v>
      </c>
      <c r="J24" s="16">
        <v>221264</v>
      </c>
      <c r="K24" s="16">
        <f>G24-188231</f>
        <v>41769</v>
      </c>
      <c r="L24" s="16">
        <v>33033</v>
      </c>
      <c r="M24" s="31">
        <v>63.761822000000002</v>
      </c>
      <c r="N24" s="35">
        <v>122.58000199999999</v>
      </c>
      <c r="O24" s="40">
        <v>0.56000000000000005</v>
      </c>
      <c r="P24" s="40">
        <v>0.56000000000000005</v>
      </c>
      <c r="Q24" s="16">
        <f t="shared" si="1"/>
        <v>655.07852018406879</v>
      </c>
      <c r="R24" s="16">
        <f t="shared" si="2"/>
        <v>74587.5</v>
      </c>
      <c r="S24" s="45">
        <f t="shared" si="3"/>
        <v>1.712293388429752</v>
      </c>
      <c r="T24" s="40">
        <v>99.5</v>
      </c>
      <c r="U24" s="6" t="s">
        <v>49</v>
      </c>
      <c r="V24" t="s">
        <v>61</v>
      </c>
      <c r="Y24">
        <v>0</v>
      </c>
      <c r="Z24">
        <v>1</v>
      </c>
      <c r="AA24" s="7">
        <v>42144</v>
      </c>
      <c r="AC24" s="8" t="s">
        <v>46</v>
      </c>
      <c r="AD24" t="s">
        <v>50</v>
      </c>
    </row>
    <row r="25" spans="1:44">
      <c r="A25" t="s">
        <v>142</v>
      </c>
      <c r="B25" t="s">
        <v>143</v>
      </c>
      <c r="C25" s="26">
        <v>45079</v>
      </c>
      <c r="D25" s="16">
        <v>230000</v>
      </c>
      <c r="E25" t="s">
        <v>51</v>
      </c>
      <c r="F25" t="s">
        <v>45</v>
      </c>
      <c r="G25" s="16">
        <v>230000</v>
      </c>
      <c r="H25" s="16">
        <v>100300</v>
      </c>
      <c r="I25" s="21">
        <f t="shared" si="0"/>
        <v>43.608695652173914</v>
      </c>
      <c r="J25" s="16">
        <v>264701</v>
      </c>
      <c r="K25" s="16">
        <f>G25-224201</f>
        <v>5799</v>
      </c>
      <c r="L25" s="16">
        <v>40500</v>
      </c>
      <c r="M25" s="31">
        <v>90</v>
      </c>
      <c r="N25" s="35">
        <v>109</v>
      </c>
      <c r="O25" s="40">
        <v>0.22500000000000001</v>
      </c>
      <c r="P25" s="40">
        <v>0.22500000000000001</v>
      </c>
      <c r="Q25" s="16">
        <f t="shared" si="1"/>
        <v>64.433333333333337</v>
      </c>
      <c r="R25" s="16">
        <f t="shared" si="2"/>
        <v>25773.333333333332</v>
      </c>
      <c r="S25" s="45">
        <f t="shared" si="3"/>
        <v>0.59167431894704614</v>
      </c>
      <c r="T25" s="40">
        <v>90</v>
      </c>
      <c r="U25" s="6" t="s">
        <v>49</v>
      </c>
      <c r="V25" t="s">
        <v>144</v>
      </c>
      <c r="Y25">
        <v>0</v>
      </c>
      <c r="Z25">
        <v>1</v>
      </c>
      <c r="AA25" s="7">
        <v>42476</v>
      </c>
      <c r="AC25" s="8" t="s">
        <v>46</v>
      </c>
      <c r="AD25" t="s">
        <v>135</v>
      </c>
    </row>
    <row r="26" spans="1:44">
      <c r="A26" t="s">
        <v>126</v>
      </c>
      <c r="B26" t="s">
        <v>127</v>
      </c>
      <c r="C26" s="26">
        <v>45191</v>
      </c>
      <c r="D26" s="16">
        <v>232000</v>
      </c>
      <c r="E26" t="s">
        <v>51</v>
      </c>
      <c r="F26" t="s">
        <v>45</v>
      </c>
      <c r="G26" s="16">
        <v>232000</v>
      </c>
      <c r="H26" s="16">
        <v>88200</v>
      </c>
      <c r="I26" s="21">
        <f t="shared" si="0"/>
        <v>38.017241379310349</v>
      </c>
      <c r="J26" s="16">
        <v>233843</v>
      </c>
      <c r="K26" s="16">
        <f>G26-206286</f>
        <v>25714</v>
      </c>
      <c r="L26" s="16">
        <v>27557</v>
      </c>
      <c r="M26" s="31">
        <v>61.237243999999997</v>
      </c>
      <c r="N26" s="35">
        <v>150</v>
      </c>
      <c r="O26" s="40">
        <v>0.25800000000000001</v>
      </c>
      <c r="P26" s="40">
        <v>0.25800000000000001</v>
      </c>
      <c r="Q26" s="16">
        <f t="shared" si="1"/>
        <v>419.9078586880886</v>
      </c>
      <c r="R26" s="16">
        <f t="shared" si="2"/>
        <v>99666.666666666657</v>
      </c>
      <c r="S26" s="45">
        <f t="shared" si="3"/>
        <v>2.2880318334863787</v>
      </c>
      <c r="T26" s="40">
        <v>75</v>
      </c>
      <c r="U26" s="6" t="s">
        <v>49</v>
      </c>
      <c r="V26" t="s">
        <v>128</v>
      </c>
      <c r="Y26">
        <v>0</v>
      </c>
      <c r="Z26">
        <v>1</v>
      </c>
      <c r="AA26" s="7">
        <v>42256</v>
      </c>
      <c r="AC26" s="8" t="s">
        <v>46</v>
      </c>
      <c r="AD26" t="s">
        <v>50</v>
      </c>
    </row>
    <row r="27" spans="1:44">
      <c r="A27" t="s">
        <v>132</v>
      </c>
      <c r="B27" t="s">
        <v>133</v>
      </c>
      <c r="C27" s="26">
        <v>45693</v>
      </c>
      <c r="D27" s="16">
        <v>244000</v>
      </c>
      <c r="E27" t="s">
        <v>51</v>
      </c>
      <c r="F27" t="s">
        <v>45</v>
      </c>
      <c r="G27" s="16">
        <v>244000</v>
      </c>
      <c r="H27" s="16">
        <v>110500</v>
      </c>
      <c r="I27" s="21">
        <f t="shared" si="0"/>
        <v>45.286885245901637</v>
      </c>
      <c r="J27" s="16">
        <v>246511</v>
      </c>
      <c r="K27" s="16">
        <f>G27-210511</f>
        <v>33489</v>
      </c>
      <c r="L27" s="16">
        <v>36000</v>
      </c>
      <c r="M27" s="31">
        <v>80</v>
      </c>
      <c r="N27" s="35">
        <v>120</v>
      </c>
      <c r="O27" s="40">
        <v>0.22</v>
      </c>
      <c r="P27" s="40">
        <v>0.22</v>
      </c>
      <c r="Q27" s="16">
        <f t="shared" si="1"/>
        <v>418.61250000000001</v>
      </c>
      <c r="R27" s="16">
        <f t="shared" si="2"/>
        <v>152222.72727272726</v>
      </c>
      <c r="S27" s="45">
        <f t="shared" si="3"/>
        <v>3.4945529676934632</v>
      </c>
      <c r="T27" s="40">
        <v>80</v>
      </c>
      <c r="U27" s="6" t="s">
        <v>49</v>
      </c>
      <c r="V27" t="s">
        <v>134</v>
      </c>
      <c r="Y27">
        <v>0</v>
      </c>
      <c r="Z27">
        <v>1</v>
      </c>
      <c r="AA27" s="7">
        <v>42480</v>
      </c>
      <c r="AC27" s="8" t="s">
        <v>46</v>
      </c>
      <c r="AD27" t="s">
        <v>135</v>
      </c>
    </row>
    <row r="28" spans="1:44">
      <c r="A28" t="s">
        <v>136</v>
      </c>
      <c r="B28" t="s">
        <v>137</v>
      </c>
      <c r="C28" s="26">
        <v>45334</v>
      </c>
      <c r="D28" s="16">
        <v>250000</v>
      </c>
      <c r="E28" t="s">
        <v>51</v>
      </c>
      <c r="F28" t="s">
        <v>45</v>
      </c>
      <c r="G28" s="16">
        <v>250000</v>
      </c>
      <c r="H28" s="16">
        <v>94300</v>
      </c>
      <c r="I28" s="21">
        <f t="shared" si="0"/>
        <v>37.72</v>
      </c>
      <c r="J28" s="16">
        <v>249362</v>
      </c>
      <c r="K28" s="16">
        <f>G28-213362</f>
        <v>36638</v>
      </c>
      <c r="L28" s="16">
        <v>36000</v>
      </c>
      <c r="M28" s="31">
        <v>80</v>
      </c>
      <c r="N28" s="35">
        <v>120</v>
      </c>
      <c r="O28" s="40">
        <v>0.22</v>
      </c>
      <c r="P28" s="40">
        <v>0.22</v>
      </c>
      <c r="Q28" s="16">
        <f t="shared" si="1"/>
        <v>457.97500000000002</v>
      </c>
      <c r="R28" s="16">
        <f t="shared" si="2"/>
        <v>166536.36363636365</v>
      </c>
      <c r="S28" s="45">
        <f t="shared" si="3"/>
        <v>3.8231488438100012</v>
      </c>
      <c r="T28" s="40">
        <v>80</v>
      </c>
      <c r="U28" s="6" t="s">
        <v>49</v>
      </c>
      <c r="V28" t="s">
        <v>138</v>
      </c>
      <c r="Y28">
        <v>0</v>
      </c>
      <c r="Z28">
        <v>1</v>
      </c>
      <c r="AA28" s="7">
        <v>42480</v>
      </c>
      <c r="AC28" s="8" t="s">
        <v>46</v>
      </c>
      <c r="AD28" t="s">
        <v>135</v>
      </c>
    </row>
    <row r="29" spans="1:44">
      <c r="A29" t="s">
        <v>94</v>
      </c>
      <c r="B29" t="s">
        <v>95</v>
      </c>
      <c r="C29" s="26">
        <v>45181</v>
      </c>
      <c r="D29" s="16">
        <v>253000</v>
      </c>
      <c r="E29" t="s">
        <v>51</v>
      </c>
      <c r="F29" t="s">
        <v>45</v>
      </c>
      <c r="G29" s="16">
        <v>253000</v>
      </c>
      <c r="H29" s="16">
        <v>99400</v>
      </c>
      <c r="I29" s="21">
        <f t="shared" si="0"/>
        <v>39.288537549407117</v>
      </c>
      <c r="J29" s="16">
        <v>260979</v>
      </c>
      <c r="K29" s="16">
        <f>G29-224237</f>
        <v>28763</v>
      </c>
      <c r="L29" s="16">
        <v>36742</v>
      </c>
      <c r="M29" s="31">
        <v>81.649658000000002</v>
      </c>
      <c r="N29" s="35">
        <v>200</v>
      </c>
      <c r="O29" s="40">
        <v>0.45900000000000002</v>
      </c>
      <c r="P29" s="40">
        <v>0.45900000000000002</v>
      </c>
      <c r="Q29" s="16">
        <f t="shared" si="1"/>
        <v>352.27336775862551</v>
      </c>
      <c r="R29" s="16">
        <f t="shared" si="2"/>
        <v>62664.48801742919</v>
      </c>
      <c r="S29" s="45">
        <f t="shared" si="3"/>
        <v>1.4385786964515426</v>
      </c>
      <c r="T29" s="40">
        <v>100</v>
      </c>
      <c r="U29" s="6" t="s">
        <v>49</v>
      </c>
      <c r="V29" t="s">
        <v>96</v>
      </c>
      <c r="Y29">
        <v>0</v>
      </c>
      <c r="Z29">
        <v>1</v>
      </c>
      <c r="AA29" s="7">
        <v>42195</v>
      </c>
      <c r="AC29" s="8" t="s">
        <v>46</v>
      </c>
      <c r="AD29" t="s">
        <v>50</v>
      </c>
    </row>
    <row r="30" spans="1:44">
      <c r="A30" t="s">
        <v>139</v>
      </c>
      <c r="B30" t="s">
        <v>140</v>
      </c>
      <c r="C30" s="26">
        <v>45569</v>
      </c>
      <c r="D30" s="16">
        <v>258000</v>
      </c>
      <c r="E30" t="s">
        <v>51</v>
      </c>
      <c r="F30" t="s">
        <v>45</v>
      </c>
      <c r="G30" s="16">
        <v>258000</v>
      </c>
      <c r="H30" s="16">
        <v>112300</v>
      </c>
      <c r="I30" s="21">
        <f t="shared" si="0"/>
        <v>43.527131782945737</v>
      </c>
      <c r="J30" s="16">
        <v>250547</v>
      </c>
      <c r="K30" s="16">
        <f>G30-214547</f>
        <v>43453</v>
      </c>
      <c r="L30" s="16">
        <v>36000</v>
      </c>
      <c r="M30" s="31">
        <v>80</v>
      </c>
      <c r="N30" s="35">
        <v>120</v>
      </c>
      <c r="O30" s="40">
        <v>0.22</v>
      </c>
      <c r="P30" s="40">
        <v>0.22</v>
      </c>
      <c r="Q30" s="16">
        <f t="shared" si="1"/>
        <v>543.16250000000002</v>
      </c>
      <c r="R30" s="16">
        <f t="shared" si="2"/>
        <v>197513.63636363635</v>
      </c>
      <c r="S30" s="45">
        <f t="shared" si="3"/>
        <v>4.5342891727189247</v>
      </c>
      <c r="T30" s="40">
        <v>80</v>
      </c>
      <c r="U30" s="6" t="s">
        <v>49</v>
      </c>
      <c r="V30" t="s">
        <v>141</v>
      </c>
      <c r="Y30">
        <v>0</v>
      </c>
      <c r="Z30">
        <v>1</v>
      </c>
      <c r="AA30" s="7">
        <v>42476</v>
      </c>
      <c r="AC30" s="8" t="s">
        <v>46</v>
      </c>
      <c r="AD30" t="s">
        <v>135</v>
      </c>
    </row>
    <row r="31" spans="1:44" ht="15" thickBot="1">
      <c r="A31" t="s">
        <v>53</v>
      </c>
      <c r="B31" t="s">
        <v>54</v>
      </c>
      <c r="C31" s="26">
        <v>45484</v>
      </c>
      <c r="D31" s="16">
        <v>283900</v>
      </c>
      <c r="E31" t="s">
        <v>51</v>
      </c>
      <c r="F31" t="s">
        <v>45</v>
      </c>
      <c r="G31" s="16">
        <v>283900</v>
      </c>
      <c r="H31" s="16">
        <v>78700</v>
      </c>
      <c r="I31" s="21">
        <f t="shared" si="0"/>
        <v>27.721028531172948</v>
      </c>
      <c r="J31" s="16">
        <v>280448</v>
      </c>
      <c r="K31" s="16">
        <f>G31-257502</f>
        <v>26398</v>
      </c>
      <c r="L31" s="16">
        <v>22946</v>
      </c>
      <c r="M31" s="31">
        <v>50.990195</v>
      </c>
      <c r="N31" s="35">
        <v>156</v>
      </c>
      <c r="O31" s="40">
        <v>0.17899999999999999</v>
      </c>
      <c r="P31" s="40">
        <v>0.17899999999999999</v>
      </c>
      <c r="Q31" s="16">
        <f t="shared" si="1"/>
        <v>517.70737491786406</v>
      </c>
      <c r="R31" s="16">
        <f t="shared" si="2"/>
        <v>147474.86033519552</v>
      </c>
      <c r="S31" s="45">
        <f t="shared" si="3"/>
        <v>3.3855569406610542</v>
      </c>
      <c r="T31" s="40">
        <v>50</v>
      </c>
      <c r="U31" s="6" t="s">
        <v>49</v>
      </c>
      <c r="V31" t="s">
        <v>55</v>
      </c>
      <c r="Y31">
        <v>0</v>
      </c>
      <c r="Z31">
        <v>1</v>
      </c>
      <c r="AA31" s="7">
        <v>45591</v>
      </c>
      <c r="AC31" s="8" t="s">
        <v>46</v>
      </c>
      <c r="AD31" t="s">
        <v>50</v>
      </c>
    </row>
    <row r="32" spans="1:44" ht="15.75" thickTop="1">
      <c r="A32" s="9"/>
      <c r="B32" s="9"/>
      <c r="C32" s="27" t="s">
        <v>145</v>
      </c>
      <c r="D32" s="17">
        <f>+SUM(D2:D31)</f>
        <v>5199300</v>
      </c>
      <c r="E32" s="9"/>
      <c r="F32" s="9"/>
      <c r="G32" s="17">
        <f>+SUM(G2:G31)</f>
        <v>5199300</v>
      </c>
      <c r="H32" s="17">
        <f>+SUM(H2:H31)</f>
        <v>1929700</v>
      </c>
      <c r="I32" s="22"/>
      <c r="J32" s="17">
        <f>+SUM(J2:J31)</f>
        <v>4836491</v>
      </c>
      <c r="K32" s="17">
        <f>+SUM(K2:K31)</f>
        <v>1428188</v>
      </c>
      <c r="L32" s="17">
        <f>+SUM(L2:L31)</f>
        <v>1065379</v>
      </c>
      <c r="M32" s="32">
        <f>+SUM(M2:M31)</f>
        <v>2371.9425039999992</v>
      </c>
      <c r="N32" s="36"/>
      <c r="O32" s="41">
        <f>+SUM(O2:O31)</f>
        <v>13.303999999999998</v>
      </c>
      <c r="P32" s="41">
        <f>+SUM(P2:P31)</f>
        <v>13.061</v>
      </c>
      <c r="Q32" s="17"/>
      <c r="R32" s="17"/>
      <c r="S32" s="46"/>
      <c r="T32" s="41"/>
      <c r="U32" s="10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ht="15">
      <c r="A33" s="11"/>
      <c r="B33" s="11"/>
      <c r="C33" s="28"/>
      <c r="D33" s="18"/>
      <c r="E33" s="11"/>
      <c r="F33" s="11"/>
      <c r="G33" s="18"/>
      <c r="H33" s="18" t="s">
        <v>146</v>
      </c>
      <c r="I33" s="23">
        <f>H32/G32*100</f>
        <v>37.114611582328386</v>
      </c>
      <c r="J33" s="18"/>
      <c r="K33" s="18"/>
      <c r="L33" s="18" t="s">
        <v>147</v>
      </c>
      <c r="M33" s="33"/>
      <c r="N33" s="37"/>
      <c r="O33" s="42" t="s">
        <v>147</v>
      </c>
      <c r="P33" s="42"/>
      <c r="Q33" s="18"/>
      <c r="R33" s="18" t="s">
        <v>147</v>
      </c>
      <c r="S33" s="47"/>
      <c r="T33" s="42"/>
      <c r="U33" s="12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</row>
    <row r="34" spans="1:44" ht="15">
      <c r="A34" s="13"/>
      <c r="B34" s="13"/>
      <c r="C34" s="29"/>
      <c r="D34" s="19"/>
      <c r="E34" s="13"/>
      <c r="F34" s="13"/>
      <c r="G34" s="19"/>
      <c r="H34" s="19" t="s">
        <v>148</v>
      </c>
      <c r="I34" s="24">
        <f>STDEV(I2:I31)</f>
        <v>11.381851420419427</v>
      </c>
      <c r="J34" s="19"/>
      <c r="K34" s="19"/>
      <c r="L34" s="19" t="s">
        <v>149</v>
      </c>
      <c r="M34" s="49">
        <f>K32/M32</f>
        <v>602.11746178144313</v>
      </c>
      <c r="N34" s="38"/>
      <c r="O34" s="43" t="s">
        <v>150</v>
      </c>
      <c r="P34" s="43">
        <f>K32/O32</f>
        <v>107350.27059530969</v>
      </c>
      <c r="Q34" s="19"/>
      <c r="R34" s="19" t="s">
        <v>151</v>
      </c>
      <c r="S34" s="48">
        <f>K32/O32/43560</f>
        <v>2.4644231082486154</v>
      </c>
      <c r="T34" s="43"/>
      <c r="U34" s="14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</row>
    <row r="37" spans="1:44" ht="15">
      <c r="A37" s="1" t="s">
        <v>152</v>
      </c>
    </row>
  </sheetData>
  <sheetProtection password="C7B3" sheet="1" objects="1" scenarios="1"/>
  <sortState ref="A2:AR34">
    <sortCondition ref="D2:D34"/>
  </sortState>
  <conditionalFormatting sqref="A2:AR31">
    <cfRule type="expression" dxfId="1" priority="11" stopIfTrue="1">
      <formula>MOD(ROW(),4)&gt;1</formula>
    </cfRule>
    <cfRule type="expression" dxfId="0" priority="1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2026-01-27T20:45:16Z</dcterms:created>
  <dcterms:modified xsi:type="dcterms:W3CDTF">2026-03-09T22:45:47Z</dcterms:modified>
</cp:coreProperties>
</file>