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Land Analysis" sheetId="2" r:id="rId1"/>
    <sheet name="Sheet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/>
  <c r="K21"/>
  <c r="Q21"/>
  <c r="R21"/>
  <c r="S21"/>
  <c r="I76"/>
  <c r="K76"/>
  <c r="Q76"/>
  <c r="R76"/>
  <c r="S76"/>
  <c r="I30"/>
  <c r="K30"/>
  <c r="Q30"/>
  <c r="R30"/>
  <c r="S30"/>
  <c r="I19"/>
  <c r="K19"/>
  <c r="Q19"/>
  <c r="R19"/>
  <c r="S19"/>
  <c r="I66"/>
  <c r="K66"/>
  <c r="Q66"/>
  <c r="R66"/>
  <c r="S66"/>
  <c r="I3"/>
  <c r="K3"/>
  <c r="Q3"/>
  <c r="R3"/>
  <c r="S3"/>
  <c r="I10"/>
  <c r="K10"/>
  <c r="Q10"/>
  <c r="R10"/>
  <c r="S10"/>
  <c r="I67"/>
  <c r="K67"/>
  <c r="Q67"/>
  <c r="R67"/>
  <c r="S67"/>
  <c r="I6"/>
  <c r="K6"/>
  <c r="Q6"/>
  <c r="R6"/>
  <c r="S6"/>
  <c r="I31"/>
  <c r="K31"/>
  <c r="Q31"/>
  <c r="R31"/>
  <c r="S31"/>
  <c r="I8"/>
  <c r="K8"/>
  <c r="Q8"/>
  <c r="R8"/>
  <c r="S8"/>
  <c r="I12"/>
  <c r="K12"/>
  <c r="Q12"/>
  <c r="R12"/>
  <c r="S12"/>
  <c r="I22"/>
  <c r="K22"/>
  <c r="Q22"/>
  <c r="R22"/>
  <c r="S22"/>
  <c r="I75"/>
  <c r="K75"/>
  <c r="Q75"/>
  <c r="R75"/>
  <c r="S75"/>
  <c r="I48"/>
  <c r="K48"/>
  <c r="Q48"/>
  <c r="R48"/>
  <c r="S48"/>
  <c r="I38"/>
  <c r="K38"/>
  <c r="Q38"/>
  <c r="R38"/>
  <c r="S38"/>
  <c r="I45"/>
  <c r="K45"/>
  <c r="Q45"/>
  <c r="R45"/>
  <c r="S45"/>
  <c r="I63"/>
  <c r="K63"/>
  <c r="Q63"/>
  <c r="R63"/>
  <c r="S63"/>
  <c r="I26"/>
  <c r="K26"/>
  <c r="Q26"/>
  <c r="R26"/>
  <c r="S26"/>
  <c r="I11"/>
  <c r="K11"/>
  <c r="Q11"/>
  <c r="R11"/>
  <c r="S11"/>
  <c r="I4"/>
  <c r="K4"/>
  <c r="Q4"/>
  <c r="R4"/>
  <c r="S4"/>
  <c r="I23"/>
  <c r="K23"/>
  <c r="Q23"/>
  <c r="R23"/>
  <c r="S23"/>
  <c r="I13"/>
  <c r="K13"/>
  <c r="Q13"/>
  <c r="R13"/>
  <c r="S13"/>
  <c r="I14"/>
  <c r="K14"/>
  <c r="Q14"/>
  <c r="R14"/>
  <c r="S14"/>
  <c r="I17"/>
  <c r="K17"/>
  <c r="Q17"/>
  <c r="R17"/>
  <c r="S17"/>
  <c r="I59"/>
  <c r="K59"/>
  <c r="Q59"/>
  <c r="R59"/>
  <c r="S59"/>
  <c r="I28"/>
  <c r="K28"/>
  <c r="Q28"/>
  <c r="R28"/>
  <c r="S28"/>
  <c r="I49"/>
  <c r="K49"/>
  <c r="Q49"/>
  <c r="R49"/>
  <c r="S49"/>
  <c r="I32"/>
  <c r="K32"/>
  <c r="Q32"/>
  <c r="R32"/>
  <c r="S32"/>
  <c r="I35"/>
  <c r="K35"/>
  <c r="Q35"/>
  <c r="R35"/>
  <c r="S35"/>
  <c r="I55"/>
  <c r="K55"/>
  <c r="Q55"/>
  <c r="R55"/>
  <c r="S55"/>
  <c r="I50"/>
  <c r="K50"/>
  <c r="Q50"/>
  <c r="R50"/>
  <c r="S50"/>
  <c r="I33"/>
  <c r="K33"/>
  <c r="Q33"/>
  <c r="R33"/>
  <c r="S33"/>
  <c r="I27"/>
  <c r="K27"/>
  <c r="Q27"/>
  <c r="R27"/>
  <c r="S27"/>
  <c r="I68"/>
  <c r="K68"/>
  <c r="Q68"/>
  <c r="R68"/>
  <c r="S68"/>
  <c r="I51"/>
  <c r="K51"/>
  <c r="Q51"/>
  <c r="R51"/>
  <c r="S51"/>
  <c r="I65"/>
  <c r="K65"/>
  <c r="Q65"/>
  <c r="R65"/>
  <c r="S65"/>
  <c r="I42"/>
  <c r="K42"/>
  <c r="Q42"/>
  <c r="R42"/>
  <c r="S42"/>
  <c r="I52"/>
  <c r="K52"/>
  <c r="Q52"/>
  <c r="R52"/>
  <c r="S52"/>
  <c r="I39"/>
  <c r="K39"/>
  <c r="Q39"/>
  <c r="R39"/>
  <c r="S39"/>
  <c r="I43"/>
  <c r="K43"/>
  <c r="Q43"/>
  <c r="R43"/>
  <c r="S43"/>
  <c r="I36"/>
  <c r="K36"/>
  <c r="Q36"/>
  <c r="R36"/>
  <c r="S36"/>
  <c r="I7"/>
  <c r="K7"/>
  <c r="Q7"/>
  <c r="R7"/>
  <c r="S7"/>
  <c r="I56"/>
  <c r="K56"/>
  <c r="Q56"/>
  <c r="R56"/>
  <c r="S56"/>
  <c r="I60"/>
  <c r="K60"/>
  <c r="Q60"/>
  <c r="R60"/>
  <c r="S60"/>
  <c r="I24"/>
  <c r="K24"/>
  <c r="Q24"/>
  <c r="R24"/>
  <c r="S24"/>
  <c r="I40"/>
  <c r="K40"/>
  <c r="Q40"/>
  <c r="R40"/>
  <c r="S40"/>
  <c r="I54"/>
  <c r="K54"/>
  <c r="Q54"/>
  <c r="R54"/>
  <c r="S54"/>
  <c r="I74"/>
  <c r="K74"/>
  <c r="Q74"/>
  <c r="R74"/>
  <c r="S74"/>
  <c r="I2"/>
  <c r="K2"/>
  <c r="Q2"/>
  <c r="R2"/>
  <c r="S2"/>
  <c r="I16"/>
  <c r="K16"/>
  <c r="Q16"/>
  <c r="R16"/>
  <c r="S16"/>
  <c r="I9"/>
  <c r="K9"/>
  <c r="Q9"/>
  <c r="R9"/>
  <c r="S9"/>
  <c r="I61"/>
  <c r="K61"/>
  <c r="Q61"/>
  <c r="R61"/>
  <c r="S61"/>
  <c r="I44"/>
  <c r="K44"/>
  <c r="Q44"/>
  <c r="R44"/>
  <c r="S44"/>
  <c r="I53"/>
  <c r="K53"/>
  <c r="Q53"/>
  <c r="R53"/>
  <c r="S53"/>
  <c r="I64"/>
  <c r="K64"/>
  <c r="Q64"/>
  <c r="R64"/>
  <c r="S64"/>
  <c r="I57"/>
  <c r="K57"/>
  <c r="Q57"/>
  <c r="R57"/>
  <c r="S57"/>
  <c r="I62"/>
  <c r="K62"/>
  <c r="Q62"/>
  <c r="R62"/>
  <c r="S62"/>
  <c r="I34"/>
  <c r="K34"/>
  <c r="Q34"/>
  <c r="R34"/>
  <c r="S34"/>
  <c r="I58"/>
  <c r="K58"/>
  <c r="Q58"/>
  <c r="R58"/>
  <c r="S58"/>
  <c r="I20"/>
  <c r="K20"/>
  <c r="Q20"/>
  <c r="R20"/>
  <c r="S20"/>
  <c r="I46"/>
  <c r="K46"/>
  <c r="Q46"/>
  <c r="R46"/>
  <c r="S46"/>
  <c r="I41"/>
  <c r="K41"/>
  <c r="Q41"/>
  <c r="R41"/>
  <c r="S41"/>
  <c r="I73"/>
  <c r="K73"/>
  <c r="Q73"/>
  <c r="R73"/>
  <c r="S73"/>
  <c r="I71"/>
  <c r="K71"/>
  <c r="Q71"/>
  <c r="R71"/>
  <c r="S71"/>
  <c r="I72"/>
  <c r="K72"/>
  <c r="Q72"/>
  <c r="R72"/>
  <c r="S72"/>
  <c r="I78"/>
  <c r="K78"/>
  <c r="Q78"/>
  <c r="R78"/>
  <c r="S78"/>
  <c r="I18"/>
  <c r="K18"/>
  <c r="Q18"/>
  <c r="R18"/>
  <c r="S18"/>
  <c r="I77"/>
  <c r="K77"/>
  <c r="Q77"/>
  <c r="R77"/>
  <c r="S77"/>
  <c r="I69"/>
  <c r="K69"/>
  <c r="Q69"/>
  <c r="R69"/>
  <c r="S69"/>
  <c r="I70"/>
  <c r="K70"/>
  <c r="Q70"/>
  <c r="R70"/>
  <c r="S70"/>
  <c r="I29"/>
  <c r="K29"/>
  <c r="Q29"/>
  <c r="R29"/>
  <c r="S29"/>
  <c r="I47"/>
  <c r="K47"/>
  <c r="Q47"/>
  <c r="R47"/>
  <c r="S47"/>
  <c r="I37"/>
  <c r="K37"/>
  <c r="Q37"/>
  <c r="R37"/>
  <c r="S37"/>
  <c r="I5"/>
  <c r="K5"/>
  <c r="Q5"/>
  <c r="R5"/>
  <c r="S5"/>
  <c r="I25"/>
  <c r="K25"/>
  <c r="Q25"/>
  <c r="R25"/>
  <c r="S25"/>
  <c r="I15"/>
  <c r="K15"/>
  <c r="Q15"/>
  <c r="R15"/>
  <c r="S15"/>
  <c r="D79"/>
  <c r="G79"/>
  <c r="H79"/>
  <c r="J79"/>
  <c r="K79"/>
  <c r="L79"/>
  <c r="M79"/>
  <c r="O79"/>
  <c r="P79"/>
  <c r="I80"/>
  <c r="I81"/>
  <c r="M81"/>
  <c r="P81"/>
  <c r="S81"/>
</calcChain>
</file>

<file path=xl/sharedStrings.xml><?xml version="1.0" encoding="utf-8"?>
<sst xmlns="http://schemas.openxmlformats.org/spreadsheetml/2006/main" count="686" uniqueCount="289">
  <si>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</si>
  <si>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</si>
  <si>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</si>
  <si>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</si>
  <si>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</si>
  <si>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</si>
  <si>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</si>
  <si>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</si>
  <si>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</si>
  <si>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</si>
  <si>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</si>
  <si>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</si>
  <si>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</si>
  <si>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</si>
  <si>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</si>
  <si>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</si>
  <si>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</si>
  <si>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</si>
  <si>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</si>
  <si>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</si>
  <si>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</si>
  <si>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</si>
  <si>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</si>
  <si>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</si>
  <si>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</si>
  <si>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</si>
  <si>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</si>
  <si>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</si>
  <si>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</si>
  <si>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</si>
  <si>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</si>
  <si>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</si>
  <si>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</si>
  <si>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</si>
  <si>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</si>
  <si>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</si>
  <si>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</si>
  <si>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</si>
  <si>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</si>
  <si>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</si>
  <si>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</si>
  <si>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</si>
  <si>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</si>
  <si>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</si>
  <si>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017-001-008-20</t>
  </si>
  <si>
    <t>N FEDERAL RD</t>
  </si>
  <si>
    <t>WD</t>
  </si>
  <si>
    <t>19-MULTI PARCEL ARM'S LENGTH</t>
  </si>
  <si>
    <t>TWPRS</t>
  </si>
  <si>
    <t>2023R-08837</t>
  </si>
  <si>
    <t>017-012-008-01</t>
  </si>
  <si>
    <t>TOWNSHIP RES</t>
  </si>
  <si>
    <t>402</t>
  </si>
  <si>
    <t>017-004-006-01</t>
  </si>
  <si>
    <t>21779 W NORTH COUNTY LINE RD</t>
  </si>
  <si>
    <t>PTA</t>
  </si>
  <si>
    <t>03-ARM'S LENGTH</t>
  </si>
  <si>
    <t>2023R-11155</t>
  </si>
  <si>
    <t>401</t>
  </si>
  <si>
    <t>QC</t>
  </si>
  <si>
    <t>017-004-009-10</t>
  </si>
  <si>
    <t>11886 N GORDON RD</t>
  </si>
  <si>
    <t>2025R-00375</t>
  </si>
  <si>
    <t>017-005-019-01</t>
  </si>
  <si>
    <t>11442 N WHITEFISH RD</t>
  </si>
  <si>
    <t>2023R-10381</t>
  </si>
  <si>
    <t>017-006-001-20</t>
  </si>
  <si>
    <t>23794 W CUTLER RD</t>
  </si>
  <si>
    <t>2023R-11823</t>
  </si>
  <si>
    <t>017-006-001-70</t>
  </si>
  <si>
    <t>11106 N WEST COUNTY LINE RD</t>
  </si>
  <si>
    <t>2024R-00408</t>
  </si>
  <si>
    <t>2024R-01635</t>
  </si>
  <si>
    <t>017-006-008-65</t>
  </si>
  <si>
    <t>11159 N WHITEFISH RD</t>
  </si>
  <si>
    <t>2024R-10805</t>
  </si>
  <si>
    <t>017-007-006-20</t>
  </si>
  <si>
    <t>N WEST COUNTY LINE RD</t>
  </si>
  <si>
    <t>2024R-07703</t>
  </si>
  <si>
    <t>THE WOODS</t>
  </si>
  <si>
    <t>017-007-006-90</t>
  </si>
  <si>
    <t>23962 W TAMARACK RD</t>
  </si>
  <si>
    <t>2024R-00394</t>
  </si>
  <si>
    <t>017-007-018-12</t>
  </si>
  <si>
    <t>2023R-04556</t>
  </si>
  <si>
    <t>017-007-018-14</t>
  </si>
  <si>
    <t>10798 N WEST COUNTY LINE RD</t>
  </si>
  <si>
    <t>2024R-00473</t>
  </si>
  <si>
    <t>017-007-018-50</t>
  </si>
  <si>
    <t>10674 N WEST COUNTY LINE RD</t>
  </si>
  <si>
    <t>2024R-05191</t>
  </si>
  <si>
    <t>017-008-001-01</t>
  </si>
  <si>
    <t>2024R-08553</t>
  </si>
  <si>
    <t>001</t>
  </si>
  <si>
    <t>017-011-002-30</t>
  </si>
  <si>
    <t>10638 N MAPLE HILL RD</t>
  </si>
  <si>
    <t>2024R-06485</t>
  </si>
  <si>
    <t>017-011-003-60</t>
  </si>
  <si>
    <t>10390 HUBBARD FARM DR</t>
  </si>
  <si>
    <t>2023R-11836</t>
  </si>
  <si>
    <t>017-011-016-05</t>
  </si>
  <si>
    <t>10477 N REED RD</t>
  </si>
  <si>
    <t>2024R-06790</t>
  </si>
  <si>
    <t>017-012-004-00</t>
  </si>
  <si>
    <t>10444 N FEDERAL RD</t>
  </si>
  <si>
    <t>2023R-07497</t>
  </si>
  <si>
    <t>017-012-008-05</t>
  </si>
  <si>
    <t>10801 N FEDERAL RD</t>
  </si>
  <si>
    <t>017-013-037-02</t>
  </si>
  <si>
    <t>2023R-11518</t>
  </si>
  <si>
    <t>017-013-037-30</t>
  </si>
  <si>
    <t>017-013-037-40</t>
  </si>
  <si>
    <t>017-014-001-50</t>
  </si>
  <si>
    <t>9969 N REED RD</t>
  </si>
  <si>
    <t>2024R-01067</t>
  </si>
  <si>
    <t>017-014-009-05</t>
  </si>
  <si>
    <t>19938 LEV OWEN LANE</t>
  </si>
  <si>
    <t>2023R-09740</t>
  </si>
  <si>
    <t>2024R-07340</t>
  </si>
  <si>
    <t>017-016-008-05</t>
  </si>
  <si>
    <t>9605 N AMY SCHOOL RD</t>
  </si>
  <si>
    <t>2023R-05257</t>
  </si>
  <si>
    <t>017-016-011-02</t>
  </si>
  <si>
    <t>N AMY SCHOOL RD</t>
  </si>
  <si>
    <t>2023R-09924</t>
  </si>
  <si>
    <t>017-016-019-01</t>
  </si>
  <si>
    <t>017-017-003-01</t>
  </si>
  <si>
    <t>9960 N DAGGET RD</t>
  </si>
  <si>
    <t>2024R-02685</t>
  </si>
  <si>
    <t>017-017-003-22</t>
  </si>
  <si>
    <t>22653 W TAMARACK RD</t>
  </si>
  <si>
    <t>2024R-10262</t>
  </si>
  <si>
    <t>017-018-009-10</t>
  </si>
  <si>
    <t>23887 TAMARACK RD</t>
  </si>
  <si>
    <t>2024R-03509</t>
  </si>
  <si>
    <t>017-018-009-50</t>
  </si>
  <si>
    <t>9966 N WEST COUNTY LINE RD</t>
  </si>
  <si>
    <t>2024R-01728</t>
  </si>
  <si>
    <t>017-019-003-20</t>
  </si>
  <si>
    <t>23566 W ALMY RD</t>
  </si>
  <si>
    <t>2024R-05629</t>
  </si>
  <si>
    <t>017-019-022-20</t>
  </si>
  <si>
    <t>23202 W ALMY RD</t>
  </si>
  <si>
    <t>2023R-03688</t>
  </si>
  <si>
    <t>017-020-008-20</t>
  </si>
  <si>
    <t>8357 CLARA DR</t>
  </si>
  <si>
    <t>2025R-01033</t>
  </si>
  <si>
    <t>017-021-016-30</t>
  </si>
  <si>
    <t>21608 W ALMY RD</t>
  </si>
  <si>
    <t>2023R-10740</t>
  </si>
  <si>
    <t>017-022-009-00</t>
  </si>
  <si>
    <t>20192 W GATES RD</t>
  </si>
  <si>
    <t>2024R-06091</t>
  </si>
  <si>
    <t>017-022-036-00</t>
  </si>
  <si>
    <t>017-022-017-13</t>
  </si>
  <si>
    <t>20347 W GATES RD</t>
  </si>
  <si>
    <t>2024R-08858</t>
  </si>
  <si>
    <t>017-022-027-11</t>
  </si>
  <si>
    <t>20276 W GATES RD</t>
  </si>
  <si>
    <t>2024R-00884</t>
  </si>
  <si>
    <t>017-022-029-40</t>
  </si>
  <si>
    <t>20984 W ALMY RD</t>
  </si>
  <si>
    <t>2023R-04956</t>
  </si>
  <si>
    <t>017-023-005-20</t>
  </si>
  <si>
    <t>8673 LOVELESS DR</t>
  </si>
  <si>
    <t>2024R-11189</t>
  </si>
  <si>
    <t>017-023-028-30</t>
  </si>
  <si>
    <t>8421 LOVELESS DR</t>
  </si>
  <si>
    <t>2024R-00886</t>
  </si>
  <si>
    <t>017-023-033-20</t>
  </si>
  <si>
    <t>8385 N GARBOW RD</t>
  </si>
  <si>
    <t>2023R-10372</t>
  </si>
  <si>
    <t>017-023-060-00</t>
  </si>
  <si>
    <t>2023R-07476</t>
  </si>
  <si>
    <t>017-023-060-10</t>
  </si>
  <si>
    <t>N GARBOW RD</t>
  </si>
  <si>
    <t>017-024-007-00</t>
  </si>
  <si>
    <t>N JONES RD</t>
  </si>
  <si>
    <t>2024R-04476</t>
  </si>
  <si>
    <t>017-024-014-00</t>
  </si>
  <si>
    <t>18846 W ALMY RD</t>
  </si>
  <si>
    <t>2024R-06242</t>
  </si>
  <si>
    <t>017-024-014-20</t>
  </si>
  <si>
    <t>18730 W ALMY RD</t>
  </si>
  <si>
    <t>2023R-04986</t>
  </si>
  <si>
    <t>017-024-019-30</t>
  </si>
  <si>
    <t>18368 W ALMY RD</t>
  </si>
  <si>
    <t>2023R-11435</t>
  </si>
  <si>
    <t>017-025-002-21</t>
  </si>
  <si>
    <t>18923 W ALMY RD</t>
  </si>
  <si>
    <t>2025R-03454</t>
  </si>
  <si>
    <t>017-025-002-23</t>
  </si>
  <si>
    <t>7910 N REED RD</t>
  </si>
  <si>
    <t>2024R-09147</t>
  </si>
  <si>
    <t>017-025-002-24</t>
  </si>
  <si>
    <t>017-025-008-10</t>
  </si>
  <si>
    <t>18709 W ALMY RD</t>
  </si>
  <si>
    <t>2024R-04724</t>
  </si>
  <si>
    <t>047-425-002-00</t>
  </si>
  <si>
    <t>017-027-007-10</t>
  </si>
  <si>
    <t>7140 N AMY SCHOOL RD</t>
  </si>
  <si>
    <t>2023R-12036</t>
  </si>
  <si>
    <t>017-027-022-65</t>
  </si>
  <si>
    <t>2024R-04030</t>
  </si>
  <si>
    <t>017-028-001-05</t>
  </si>
  <si>
    <t>21492 W DEWEY RD</t>
  </si>
  <si>
    <t>2024R-04294</t>
  </si>
  <si>
    <t>017-028-023-30</t>
  </si>
  <si>
    <t>21594 W DEWEY RD</t>
  </si>
  <si>
    <t>2023R-06253</t>
  </si>
  <si>
    <t>017-029-009-00</t>
  </si>
  <si>
    <t>22901 W DEWEY RD</t>
  </si>
  <si>
    <t>2023R-10347</t>
  </si>
  <si>
    <t>017-029-014-20</t>
  </si>
  <si>
    <t>7699 N DAGGET RD</t>
  </si>
  <si>
    <t>2023R-03862</t>
  </si>
  <si>
    <t>017-029-025-10</t>
  </si>
  <si>
    <t>22983 W ALMY RD</t>
  </si>
  <si>
    <t>2024R-06423</t>
  </si>
  <si>
    <t>017-029-025-30</t>
  </si>
  <si>
    <t>22899 W ALMY RD</t>
  </si>
  <si>
    <t>2024R-09047</t>
  </si>
  <si>
    <t>017-029-026-00</t>
  </si>
  <si>
    <t>22815 W ALMY RD</t>
  </si>
  <si>
    <t>2024R-10306</t>
  </si>
  <si>
    <t>017-030-002-00</t>
  </si>
  <si>
    <t>W DEWEY RD</t>
  </si>
  <si>
    <t>017-030-026-00</t>
  </si>
  <si>
    <t>23296 W M-82 HC-EDMORE RD</t>
  </si>
  <si>
    <t>2024R-01663</t>
  </si>
  <si>
    <t>017-031-002-12</t>
  </si>
  <si>
    <t>W HC-EDMORE RD</t>
  </si>
  <si>
    <t>2024R-03890</t>
  </si>
  <si>
    <t>017-031-009-60</t>
  </si>
  <si>
    <t>6351 N WHITEFISH RD</t>
  </si>
  <si>
    <t>2023R-05896</t>
  </si>
  <si>
    <t>017-031-013-02</t>
  </si>
  <si>
    <t>23154 CLEMVILLE DR</t>
  </si>
  <si>
    <t>2023R-09606</t>
  </si>
  <si>
    <t>017-031-013-30</t>
  </si>
  <si>
    <t>017-032-004-00</t>
  </si>
  <si>
    <t>6463 CROOKED CREEK DR</t>
  </si>
  <si>
    <t>2023R-03776</t>
  </si>
  <si>
    <t>017-032-008-00</t>
  </si>
  <si>
    <t>22501 W HC-EDMORE RD</t>
  </si>
  <si>
    <t>2024R-09310</t>
  </si>
  <si>
    <t>017-032-009-00</t>
  </si>
  <si>
    <t>22693 W HC-EDMORE RD</t>
  </si>
  <si>
    <t>2024R-08204</t>
  </si>
  <si>
    <t>017-032-011-35</t>
  </si>
  <si>
    <t>6768 N WHITEFISH RD</t>
  </si>
  <si>
    <t>2024R-01546</t>
  </si>
  <si>
    <t>017-032-024-00</t>
  </si>
  <si>
    <t>6088 CHEROKEE DR</t>
  </si>
  <si>
    <t>2024R-05871</t>
  </si>
  <si>
    <t>017-033-008-00</t>
  </si>
  <si>
    <t>017-033-011-00</t>
  </si>
  <si>
    <t>21802 W LAKE MONTCALM RD</t>
  </si>
  <si>
    <t>2025R-03245</t>
  </si>
  <si>
    <t>017-033-022-40</t>
  </si>
  <si>
    <t>21299 LOIS LANE</t>
  </si>
  <si>
    <t>2023R-04969</t>
  </si>
  <si>
    <t>017-033-022-50</t>
  </si>
  <si>
    <t>LOIS LANE</t>
  </si>
  <si>
    <t>017-034-005-02</t>
  </si>
  <si>
    <t>6169 N MAPLE HILL RD</t>
  </si>
  <si>
    <t>2024R-08731</t>
  </si>
  <si>
    <t>2025R-01132</t>
  </si>
  <si>
    <t>017-034-015-01</t>
  </si>
  <si>
    <t>2024R-07221</t>
  </si>
  <si>
    <t>017-034-016-50</t>
  </si>
  <si>
    <t>W CHURCH RD</t>
  </si>
  <si>
    <t>2023R-04473</t>
  </si>
  <si>
    <t>017-034-026-40</t>
  </si>
  <si>
    <t>20019 NORTHRUP DR</t>
  </si>
  <si>
    <t>2024R-05874</t>
  </si>
  <si>
    <t>017-300-015-05</t>
  </si>
  <si>
    <t>9114 N JONES RD</t>
  </si>
  <si>
    <t>2023R-07780</t>
  </si>
  <si>
    <t>017-300-017-05, 017-300-019-05</t>
  </si>
  <si>
    <t>PINEVIEW ESTATE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</si>
  <si>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</si>
  <si>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</si>
  <si>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</si>
  <si>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</si>
  <si>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</si>
  <si>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</si>
  <si>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</si>
  <si>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REYNOLDS FIRST ACRE RURAL RES AT $15,500, 5 ACRES AT $41,000 30 ACRES AT $110,000 100 ACRES AT $335,000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</si>
</sst>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83"/>
  <sheetViews>
    <sheetView tabSelected="1" workbookViewId="0">
      <selection activeCell="B83" sqref="A83:XFD83"/>
    </sheetView>
  </sheetViews>
  <sheetFormatPr defaultRowHeight="14.25"/>
  <cols>
    <col min="1" max="1" width="14.375" bestFit="1" customWidth="1"/>
    <col min="2" max="2" width="30.375" bestFit="1" customWidth="1"/>
    <col min="3" max="3" width="9.625" style="25" bestFit="1" customWidth="1"/>
    <col min="4" max="4" width="11.875" style="15" bestFit="1" customWidth="1"/>
    <col min="5" max="5" width="5.75" bestFit="1" customWidth="1"/>
    <col min="6" max="6" width="29.375" bestFit="1" customWidth="1"/>
    <col min="7" max="7" width="11.875" style="15" bestFit="1" customWidth="1"/>
    <col min="8" max="8" width="14.75" style="15" bestFit="1" customWidth="1"/>
    <col min="9" max="9" width="12.75" style="20" bestFit="1" customWidth="1"/>
    <col min="10" max="11" width="13.75" style="15" bestFit="1" customWidth="1"/>
    <col min="12" max="12" width="14.75" style="15" bestFit="1" customWidth="1"/>
    <col min="13" max="13" width="11.375" style="30" bestFit="1" customWidth="1"/>
    <col min="14" max="14" width="6.625" style="34" bestFit="1" customWidth="1"/>
    <col min="15" max="15" width="14.25" style="39" bestFit="1" customWidth="1"/>
    <col min="16" max="16" width="10.875" style="39" bestFit="1" customWidth="1"/>
    <col min="17" max="17" width="10.125" style="15" bestFit="1" customWidth="1"/>
    <col min="18" max="18" width="12.125" style="15" bestFit="1" customWidth="1"/>
    <col min="19" max="19" width="12.125" style="44" bestFit="1" customWidth="1"/>
    <col min="20" max="20" width="11.75" style="39" bestFit="1" customWidth="1"/>
    <col min="21" max="21" width="9" style="4" bestFit="1" customWidth="1"/>
    <col min="22" max="22" width="11.875" bestFit="1" customWidth="1"/>
    <col min="23" max="23" width="28.875" bestFit="1" customWidth="1"/>
    <col min="24" max="24" width="14.25" bestFit="1" customWidth="1"/>
    <col min="25" max="25" width="6.875" bestFit="1" customWidth="1"/>
    <col min="26" max="26" width="6.375" bestFit="1" customWidth="1"/>
    <col min="27" max="27" width="14.875" bestFit="1" customWidth="1"/>
    <col min="28" max="28" width="9.75" bestFit="1" customWidth="1"/>
    <col min="29" max="29" width="6" bestFit="1" customWidth="1"/>
    <col min="30" max="30" width="16.25" bestFit="1" customWidth="1"/>
    <col min="31" max="32" width="12.625" bestFit="1" customWidth="1"/>
    <col min="33" max="33" width="19" bestFit="1" customWidth="1"/>
    <col min="34" max="34" width="7.25" bestFit="1" customWidth="1"/>
    <col min="35" max="35" width="13.125" bestFit="1" customWidth="1"/>
    <col min="36" max="36" width="6.625" bestFit="1" customWidth="1"/>
    <col min="37" max="37" width="20.375" bestFit="1" customWidth="1"/>
    <col min="38" max="38" width="17" bestFit="1" customWidth="1"/>
    <col min="39" max="39" width="15" bestFit="1" customWidth="1"/>
    <col min="40" max="40" width="10.875" bestFit="1" customWidth="1"/>
    <col min="41" max="41" width="16.75" bestFit="1" customWidth="1"/>
    <col min="42" max="42" width="21.375" bestFit="1" customWidth="1"/>
    <col min="43" max="43" width="21.125" bestFit="1" customWidth="1"/>
    <col min="44" max="44" width="17" bestFit="1" customWidth="1"/>
  </cols>
  <sheetData>
    <row r="1" spans="1:64" ht="1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>
      <c r="A2" t="s">
        <v>199</v>
      </c>
      <c r="B2" t="s">
        <v>200</v>
      </c>
      <c r="C2" s="25">
        <v>45274</v>
      </c>
      <c r="D2" s="15">
        <v>8000</v>
      </c>
      <c r="E2" t="s">
        <v>46</v>
      </c>
      <c r="F2" t="s">
        <v>56</v>
      </c>
      <c r="G2" s="15">
        <v>8000</v>
      </c>
      <c r="H2" s="15">
        <v>0</v>
      </c>
      <c r="I2" s="20">
        <f t="shared" ref="I2:I33" si="0">H2/G2*100</f>
        <v>0</v>
      </c>
      <c r="J2" s="15">
        <v>19097</v>
      </c>
      <c r="K2" s="15">
        <f t="shared" ref="K2:K11" si="1">G2-0</f>
        <v>8000</v>
      </c>
      <c r="L2" s="15">
        <v>18500</v>
      </c>
      <c r="M2" s="30">
        <v>0</v>
      </c>
      <c r="N2" s="34">
        <v>0</v>
      </c>
      <c r="O2" s="39">
        <v>1.5</v>
      </c>
      <c r="P2" s="39">
        <v>1.5</v>
      </c>
      <c r="Q2" s="15" t="e">
        <f t="shared" ref="Q2:Q33" si="2">K2/M2</f>
        <v>#DIV/0!</v>
      </c>
      <c r="R2" s="15">
        <f t="shared" ref="R2:R33" si="3">K2/O2</f>
        <v>5333.333333333333</v>
      </c>
      <c r="S2" s="44">
        <f t="shared" ref="S2:S33" si="4">K2/O2/43560</f>
        <v>0.1224364860728497</v>
      </c>
      <c r="T2" s="39">
        <v>0</v>
      </c>
      <c r="U2" s="5" t="s">
        <v>48</v>
      </c>
      <c r="V2" t="s">
        <v>201</v>
      </c>
      <c r="X2" t="s">
        <v>51</v>
      </c>
      <c r="Y2">
        <v>0</v>
      </c>
      <c r="Z2">
        <v>0</v>
      </c>
      <c r="AA2" s="6">
        <v>42919</v>
      </c>
      <c r="AC2" s="7" t="s">
        <v>52</v>
      </c>
      <c r="BC2" s="2"/>
      <c r="BE2" s="2"/>
    </row>
    <row r="3" spans="1:64">
      <c r="A3" t="s">
        <v>69</v>
      </c>
      <c r="B3" t="s">
        <v>70</v>
      </c>
      <c r="C3" s="25">
        <v>45307</v>
      </c>
      <c r="D3" s="15">
        <v>9200</v>
      </c>
      <c r="E3" t="s">
        <v>46</v>
      </c>
      <c r="F3" t="s">
        <v>56</v>
      </c>
      <c r="G3" s="15">
        <v>9200</v>
      </c>
      <c r="H3" s="15">
        <v>10500</v>
      </c>
      <c r="I3" s="20">
        <f t="shared" si="0"/>
        <v>114.13043478260869</v>
      </c>
      <c r="J3" s="15">
        <v>29168</v>
      </c>
      <c r="K3" s="15">
        <f t="shared" si="1"/>
        <v>9200</v>
      </c>
      <c r="L3" s="15">
        <v>29168</v>
      </c>
      <c r="M3" s="30">
        <v>0</v>
      </c>
      <c r="N3" s="34">
        <v>0</v>
      </c>
      <c r="O3" s="39">
        <v>2.5</v>
      </c>
      <c r="P3" s="39">
        <v>2.5</v>
      </c>
      <c r="Q3" s="15" t="e">
        <f t="shared" si="2"/>
        <v>#DIV/0!</v>
      </c>
      <c r="R3" s="15">
        <f t="shared" si="3"/>
        <v>3680</v>
      </c>
      <c r="S3" s="44">
        <f t="shared" si="4"/>
        <v>8.4481175390266297E-2</v>
      </c>
      <c r="T3" s="39">
        <v>0</v>
      </c>
      <c r="U3" s="5" t="s">
        <v>48</v>
      </c>
      <c r="V3" t="s">
        <v>71</v>
      </c>
      <c r="X3" t="s">
        <v>51</v>
      </c>
      <c r="Y3">
        <v>0</v>
      </c>
      <c r="Z3">
        <v>1</v>
      </c>
      <c r="AA3" s="6">
        <v>41809</v>
      </c>
      <c r="AC3" s="7" t="s">
        <v>52</v>
      </c>
    </row>
    <row r="4" spans="1:64">
      <c r="A4" t="s">
        <v>111</v>
      </c>
      <c r="C4" s="25">
        <v>45061</v>
      </c>
      <c r="D4" s="15">
        <v>11250</v>
      </c>
      <c r="E4" t="s">
        <v>55</v>
      </c>
      <c r="F4" t="s">
        <v>56</v>
      </c>
      <c r="G4" s="15">
        <v>11250</v>
      </c>
      <c r="H4" s="15">
        <v>10400</v>
      </c>
      <c r="I4" s="20">
        <f t="shared" si="0"/>
        <v>92.444444444444443</v>
      </c>
      <c r="J4" s="15">
        <v>28896</v>
      </c>
      <c r="K4" s="15">
        <f t="shared" si="1"/>
        <v>11250</v>
      </c>
      <c r="L4" s="15">
        <v>28896</v>
      </c>
      <c r="M4" s="30">
        <v>0</v>
      </c>
      <c r="N4" s="34">
        <v>0</v>
      </c>
      <c r="O4" s="39">
        <v>2.4500000000000002</v>
      </c>
      <c r="P4" s="39">
        <v>2.4500000000000002</v>
      </c>
      <c r="Q4" s="15" t="e">
        <f t="shared" si="2"/>
        <v>#DIV/0!</v>
      </c>
      <c r="R4" s="15">
        <f t="shared" si="3"/>
        <v>4591.8367346938776</v>
      </c>
      <c r="S4" s="44">
        <f t="shared" si="4"/>
        <v>0.10541406645302749</v>
      </c>
      <c r="T4" s="39">
        <v>0</v>
      </c>
      <c r="U4" s="5" t="s">
        <v>48</v>
      </c>
      <c r="X4" t="s">
        <v>51</v>
      </c>
      <c r="Y4">
        <v>0</v>
      </c>
      <c r="Z4">
        <v>1</v>
      </c>
      <c r="AA4" s="6">
        <v>41891</v>
      </c>
      <c r="AC4" s="7" t="s">
        <v>93</v>
      </c>
    </row>
    <row r="5" spans="1:64">
      <c r="A5" t="s">
        <v>270</v>
      </c>
      <c r="B5" t="s">
        <v>271</v>
      </c>
      <c r="C5" s="25">
        <v>45044</v>
      </c>
      <c r="D5" s="15">
        <v>22000</v>
      </c>
      <c r="E5" t="s">
        <v>46</v>
      </c>
      <c r="F5" t="s">
        <v>56</v>
      </c>
      <c r="G5" s="15">
        <v>22000</v>
      </c>
      <c r="H5" s="15">
        <v>13200</v>
      </c>
      <c r="I5" s="20">
        <f t="shared" si="0"/>
        <v>60</v>
      </c>
      <c r="J5" s="15">
        <v>41000</v>
      </c>
      <c r="K5" s="15">
        <f t="shared" si="1"/>
        <v>22000</v>
      </c>
      <c r="L5" s="15">
        <v>41000</v>
      </c>
      <c r="M5" s="30">
        <v>0</v>
      </c>
      <c r="N5" s="34">
        <v>0</v>
      </c>
      <c r="O5" s="39">
        <v>5</v>
      </c>
      <c r="P5" s="39">
        <v>5</v>
      </c>
      <c r="Q5" s="15" t="e">
        <f t="shared" si="2"/>
        <v>#DIV/0!</v>
      </c>
      <c r="R5" s="15">
        <f t="shared" si="3"/>
        <v>4400</v>
      </c>
      <c r="S5" s="44">
        <f t="shared" si="4"/>
        <v>0.10101010101010101</v>
      </c>
      <c r="T5" s="39">
        <v>0</v>
      </c>
      <c r="U5" s="5" t="s">
        <v>48</v>
      </c>
      <c r="V5" t="s">
        <v>272</v>
      </c>
      <c r="X5" t="s">
        <v>51</v>
      </c>
      <c r="Y5">
        <v>0</v>
      </c>
      <c r="Z5">
        <v>0</v>
      </c>
      <c r="AA5" s="6">
        <v>43056</v>
      </c>
      <c r="AC5" s="7" t="s">
        <v>52</v>
      </c>
    </row>
    <row r="6" spans="1:64">
      <c r="A6" t="s">
        <v>76</v>
      </c>
      <c r="B6" t="s">
        <v>77</v>
      </c>
      <c r="C6" s="25">
        <v>45530</v>
      </c>
      <c r="D6" s="15">
        <v>23500</v>
      </c>
      <c r="E6" t="s">
        <v>46</v>
      </c>
      <c r="F6" t="s">
        <v>56</v>
      </c>
      <c r="G6" s="15">
        <v>23500</v>
      </c>
      <c r="H6" s="15">
        <v>10000</v>
      </c>
      <c r="I6" s="20">
        <f t="shared" si="0"/>
        <v>42.553191489361701</v>
      </c>
      <c r="J6" s="15">
        <v>22680</v>
      </c>
      <c r="K6" s="15">
        <f t="shared" si="1"/>
        <v>23500</v>
      </c>
      <c r="L6" s="15">
        <v>22680</v>
      </c>
      <c r="M6" s="30">
        <v>0</v>
      </c>
      <c r="N6" s="34">
        <v>0</v>
      </c>
      <c r="O6" s="39">
        <v>1.88</v>
      </c>
      <c r="P6" s="39">
        <v>2</v>
      </c>
      <c r="Q6" s="15" t="e">
        <f t="shared" si="2"/>
        <v>#DIV/0!</v>
      </c>
      <c r="R6" s="15">
        <f t="shared" si="3"/>
        <v>12500</v>
      </c>
      <c r="S6" s="44">
        <f t="shared" si="4"/>
        <v>0.28696051423324148</v>
      </c>
      <c r="T6" s="39">
        <v>165</v>
      </c>
      <c r="U6" s="5" t="s">
        <v>48</v>
      </c>
      <c r="V6" t="s">
        <v>78</v>
      </c>
      <c r="X6" t="s">
        <v>51</v>
      </c>
      <c r="Y6">
        <v>0</v>
      </c>
      <c r="Z6">
        <v>1</v>
      </c>
      <c r="AA6" s="6">
        <v>41831</v>
      </c>
      <c r="AC6" s="7" t="s">
        <v>58</v>
      </c>
      <c r="AD6" t="s">
        <v>79</v>
      </c>
    </row>
    <row r="7" spans="1:64">
      <c r="A7" t="s">
        <v>176</v>
      </c>
      <c r="B7" t="s">
        <v>177</v>
      </c>
      <c r="C7" s="25">
        <v>45252</v>
      </c>
      <c r="D7" s="15">
        <v>25000</v>
      </c>
      <c r="E7" t="s">
        <v>46</v>
      </c>
      <c r="F7" t="s">
        <v>56</v>
      </c>
      <c r="G7" s="15">
        <v>25000</v>
      </c>
      <c r="H7" s="15">
        <v>24000</v>
      </c>
      <c r="I7" s="20">
        <f t="shared" si="0"/>
        <v>96</v>
      </c>
      <c r="J7" s="15">
        <v>54150</v>
      </c>
      <c r="K7" s="15">
        <f t="shared" si="1"/>
        <v>25000</v>
      </c>
      <c r="L7" s="15">
        <v>54150</v>
      </c>
      <c r="M7" s="30">
        <v>0</v>
      </c>
      <c r="N7" s="34">
        <v>0</v>
      </c>
      <c r="O7" s="39">
        <v>10</v>
      </c>
      <c r="P7" s="39">
        <v>10</v>
      </c>
      <c r="Q7" s="15" t="e">
        <f t="shared" si="2"/>
        <v>#DIV/0!</v>
      </c>
      <c r="R7" s="15">
        <f t="shared" si="3"/>
        <v>2500</v>
      </c>
      <c r="S7" s="44">
        <f t="shared" si="4"/>
        <v>5.73921028466483E-2</v>
      </c>
      <c r="T7" s="39">
        <v>0</v>
      </c>
      <c r="U7" s="5" t="s">
        <v>48</v>
      </c>
      <c r="V7" t="s">
        <v>178</v>
      </c>
      <c r="X7" t="s">
        <v>51</v>
      </c>
      <c r="Y7">
        <v>0</v>
      </c>
      <c r="Z7">
        <v>1</v>
      </c>
      <c r="AA7" s="6">
        <v>42873</v>
      </c>
      <c r="AC7" s="7" t="s">
        <v>52</v>
      </c>
    </row>
    <row r="8" spans="1:64">
      <c r="A8" t="s">
        <v>83</v>
      </c>
      <c r="B8" t="s">
        <v>77</v>
      </c>
      <c r="C8" s="25">
        <v>45050</v>
      </c>
      <c r="D8" s="15">
        <v>26000</v>
      </c>
      <c r="E8" t="s">
        <v>46</v>
      </c>
      <c r="F8" t="s">
        <v>56</v>
      </c>
      <c r="G8" s="15">
        <v>26000</v>
      </c>
      <c r="H8" s="15">
        <v>10800</v>
      </c>
      <c r="I8" s="20">
        <f t="shared" si="0"/>
        <v>41.53846153846154</v>
      </c>
      <c r="J8" s="15">
        <v>30844</v>
      </c>
      <c r="K8" s="15">
        <f t="shared" si="1"/>
        <v>26000</v>
      </c>
      <c r="L8" s="15">
        <v>30844</v>
      </c>
      <c r="M8" s="30">
        <v>0</v>
      </c>
      <c r="N8" s="34">
        <v>0</v>
      </c>
      <c r="O8" s="39">
        <v>2.5110000000000001</v>
      </c>
      <c r="P8" s="39">
        <v>2.5110000000000001</v>
      </c>
      <c r="Q8" s="15" t="e">
        <f t="shared" si="2"/>
        <v>#DIV/0!</v>
      </c>
      <c r="R8" s="15">
        <f t="shared" si="3"/>
        <v>10354.440461967342</v>
      </c>
      <c r="S8" s="44">
        <f t="shared" si="4"/>
        <v>0.2377052447650905</v>
      </c>
      <c r="T8" s="39">
        <v>0</v>
      </c>
      <c r="U8" s="5" t="s">
        <v>48</v>
      </c>
      <c r="V8" t="s">
        <v>84</v>
      </c>
      <c r="X8" t="s">
        <v>51</v>
      </c>
      <c r="Y8">
        <v>0</v>
      </c>
      <c r="Z8">
        <v>0</v>
      </c>
      <c r="AA8" s="6">
        <v>41829</v>
      </c>
      <c r="AC8" s="7" t="s">
        <v>52</v>
      </c>
    </row>
    <row r="9" spans="1:64">
      <c r="A9" t="s">
        <v>204</v>
      </c>
      <c r="B9" t="s">
        <v>205</v>
      </c>
      <c r="C9" s="25">
        <v>45415</v>
      </c>
      <c r="D9" s="15">
        <v>30000</v>
      </c>
      <c r="E9" t="s">
        <v>46</v>
      </c>
      <c r="F9" t="s">
        <v>56</v>
      </c>
      <c r="G9" s="15">
        <v>30000</v>
      </c>
      <c r="H9" s="15">
        <v>22000</v>
      </c>
      <c r="I9" s="20">
        <f t="shared" si="0"/>
        <v>73.333333333333329</v>
      </c>
      <c r="J9" s="15">
        <v>31094</v>
      </c>
      <c r="K9" s="15">
        <f t="shared" si="1"/>
        <v>30000</v>
      </c>
      <c r="L9" s="15">
        <v>31094</v>
      </c>
      <c r="M9" s="30">
        <v>0</v>
      </c>
      <c r="N9" s="34">
        <v>0</v>
      </c>
      <c r="O9" s="39">
        <v>6.8</v>
      </c>
      <c r="P9" s="39">
        <v>6.8</v>
      </c>
      <c r="Q9" s="15" t="e">
        <f t="shared" si="2"/>
        <v>#DIV/0!</v>
      </c>
      <c r="R9" s="15">
        <f t="shared" si="3"/>
        <v>4411.7647058823532</v>
      </c>
      <c r="S9" s="44">
        <f t="shared" si="4"/>
        <v>0.10128018149408524</v>
      </c>
      <c r="T9" s="39">
        <v>0</v>
      </c>
      <c r="U9" s="5" t="s">
        <v>48</v>
      </c>
      <c r="V9" t="s">
        <v>206</v>
      </c>
      <c r="X9" t="s">
        <v>51</v>
      </c>
      <c r="Y9">
        <v>0</v>
      </c>
      <c r="Z9">
        <v>0</v>
      </c>
      <c r="AA9" s="6">
        <v>43010</v>
      </c>
      <c r="AC9" s="7" t="s">
        <v>52</v>
      </c>
    </row>
    <row r="10" spans="1:64">
      <c r="A10" t="s">
        <v>69</v>
      </c>
      <c r="B10" t="s">
        <v>70</v>
      </c>
      <c r="C10" s="25">
        <v>45351</v>
      </c>
      <c r="D10" s="15">
        <v>31900</v>
      </c>
      <c r="E10" t="s">
        <v>46</v>
      </c>
      <c r="F10" t="s">
        <v>56</v>
      </c>
      <c r="G10" s="15">
        <v>31900</v>
      </c>
      <c r="H10" s="15">
        <v>10500</v>
      </c>
      <c r="I10" s="20">
        <f t="shared" si="0"/>
        <v>32.915360501567399</v>
      </c>
      <c r="J10" s="15">
        <v>29168</v>
      </c>
      <c r="K10" s="15">
        <f t="shared" si="1"/>
        <v>31900</v>
      </c>
      <c r="L10" s="15">
        <v>29168</v>
      </c>
      <c r="M10" s="30">
        <v>0</v>
      </c>
      <c r="N10" s="34">
        <v>0</v>
      </c>
      <c r="O10" s="39">
        <v>2.5</v>
      </c>
      <c r="P10" s="39">
        <v>2.5</v>
      </c>
      <c r="Q10" s="15" t="e">
        <f t="shared" si="2"/>
        <v>#DIV/0!</v>
      </c>
      <c r="R10" s="15">
        <f t="shared" si="3"/>
        <v>12760</v>
      </c>
      <c r="S10" s="44">
        <f t="shared" si="4"/>
        <v>0.29292929292929293</v>
      </c>
      <c r="T10" s="39">
        <v>0</v>
      </c>
      <c r="U10" s="5" t="s">
        <v>48</v>
      </c>
      <c r="V10" t="s">
        <v>72</v>
      </c>
      <c r="X10" t="s">
        <v>51</v>
      </c>
      <c r="Y10">
        <v>0</v>
      </c>
      <c r="Z10">
        <v>1</v>
      </c>
      <c r="AA10" s="6">
        <v>41809</v>
      </c>
      <c r="AC10" s="7" t="s">
        <v>52</v>
      </c>
    </row>
    <row r="11" spans="1:64">
      <c r="A11" t="s">
        <v>110</v>
      </c>
      <c r="C11" s="25">
        <v>45264</v>
      </c>
      <c r="D11" s="15">
        <v>37500</v>
      </c>
      <c r="E11" t="s">
        <v>46</v>
      </c>
      <c r="F11" t="s">
        <v>47</v>
      </c>
      <c r="G11" s="15">
        <v>37500</v>
      </c>
      <c r="H11" s="15">
        <v>22300</v>
      </c>
      <c r="I11" s="20">
        <f t="shared" si="0"/>
        <v>59.466666666666669</v>
      </c>
      <c r="J11" s="15">
        <v>49123</v>
      </c>
      <c r="K11" s="15">
        <f t="shared" si="1"/>
        <v>37500</v>
      </c>
      <c r="L11" s="15">
        <v>49123</v>
      </c>
      <c r="M11" s="30">
        <v>0</v>
      </c>
      <c r="N11" s="34">
        <v>0</v>
      </c>
      <c r="O11" s="39">
        <v>5.35</v>
      </c>
      <c r="P11" s="39">
        <v>2.4500000000000002</v>
      </c>
      <c r="Q11" s="15" t="e">
        <f t="shared" si="2"/>
        <v>#DIV/0!</v>
      </c>
      <c r="R11" s="15">
        <f t="shared" si="3"/>
        <v>7009.3457943925241</v>
      </c>
      <c r="S11" s="44">
        <f t="shared" si="4"/>
        <v>0.16091243788779899</v>
      </c>
      <c r="T11" s="39">
        <v>0</v>
      </c>
      <c r="U11" s="5" t="s">
        <v>48</v>
      </c>
      <c r="V11" t="s">
        <v>109</v>
      </c>
      <c r="W11" t="s">
        <v>108</v>
      </c>
      <c r="X11" t="s">
        <v>51</v>
      </c>
      <c r="Y11">
        <v>0</v>
      </c>
      <c r="Z11">
        <v>1</v>
      </c>
      <c r="AA11" s="6">
        <v>44580</v>
      </c>
      <c r="AC11" s="7" t="s">
        <v>93</v>
      </c>
    </row>
    <row r="12" spans="1:64">
      <c r="A12" t="s">
        <v>85</v>
      </c>
      <c r="B12" t="s">
        <v>86</v>
      </c>
      <c r="C12" s="25">
        <v>45308</v>
      </c>
      <c r="D12" s="15">
        <v>40000</v>
      </c>
      <c r="E12" t="s">
        <v>46</v>
      </c>
      <c r="F12" t="s">
        <v>56</v>
      </c>
      <c r="G12" s="15">
        <v>40000</v>
      </c>
      <c r="H12" s="15">
        <v>10800</v>
      </c>
      <c r="I12" s="20">
        <f t="shared" si="0"/>
        <v>27</v>
      </c>
      <c r="J12" s="15">
        <v>40324</v>
      </c>
      <c r="K12" s="15">
        <f>G12-9480</f>
        <v>30520</v>
      </c>
      <c r="L12" s="15">
        <v>30844</v>
      </c>
      <c r="M12" s="30">
        <v>0</v>
      </c>
      <c r="N12" s="34">
        <v>0</v>
      </c>
      <c r="O12" s="39">
        <v>2.5110000000000001</v>
      </c>
      <c r="P12" s="39">
        <v>2.5110000000000001</v>
      </c>
      <c r="Q12" s="15" t="e">
        <f t="shared" si="2"/>
        <v>#DIV/0!</v>
      </c>
      <c r="R12" s="15">
        <f t="shared" si="3"/>
        <v>12154.520111509359</v>
      </c>
      <c r="S12" s="44">
        <f t="shared" si="4"/>
        <v>0.27902938731656013</v>
      </c>
      <c r="T12" s="39">
        <v>0</v>
      </c>
      <c r="U12" s="5" t="s">
        <v>48</v>
      </c>
      <c r="V12" t="s">
        <v>87</v>
      </c>
      <c r="X12" t="s">
        <v>51</v>
      </c>
      <c r="Y12">
        <v>0</v>
      </c>
      <c r="Z12">
        <v>0</v>
      </c>
      <c r="AA12" s="6">
        <v>41829</v>
      </c>
      <c r="AC12" s="7" t="s">
        <v>58</v>
      </c>
    </row>
    <row r="13" spans="1:64">
      <c r="A13" t="s">
        <v>115</v>
      </c>
      <c r="B13" t="s">
        <v>116</v>
      </c>
      <c r="C13" s="25">
        <v>45205</v>
      </c>
      <c r="D13" s="15">
        <v>43000</v>
      </c>
      <c r="E13" t="s">
        <v>46</v>
      </c>
      <c r="F13" t="s">
        <v>56</v>
      </c>
      <c r="G13" s="15">
        <v>43000</v>
      </c>
      <c r="H13" s="15">
        <v>16900</v>
      </c>
      <c r="I13" s="20">
        <f t="shared" si="0"/>
        <v>39.302325581395351</v>
      </c>
      <c r="J13" s="15">
        <v>39600</v>
      </c>
      <c r="K13" s="15">
        <f>G13-0</f>
        <v>43000</v>
      </c>
      <c r="L13" s="15">
        <v>39600</v>
      </c>
      <c r="M13" s="30">
        <v>0</v>
      </c>
      <c r="N13" s="34">
        <v>0</v>
      </c>
      <c r="O13" s="39">
        <v>5</v>
      </c>
      <c r="P13" s="39">
        <v>5</v>
      </c>
      <c r="Q13" s="15" t="e">
        <f t="shared" si="2"/>
        <v>#DIV/0!</v>
      </c>
      <c r="R13" s="15">
        <f t="shared" si="3"/>
        <v>8600</v>
      </c>
      <c r="S13" s="44">
        <f t="shared" si="4"/>
        <v>0.19742883379247014</v>
      </c>
      <c r="T13" s="39">
        <v>0</v>
      </c>
      <c r="U13" s="5" t="s">
        <v>48</v>
      </c>
      <c r="V13" t="s">
        <v>117</v>
      </c>
      <c r="X13" t="s">
        <v>51</v>
      </c>
      <c r="Y13">
        <v>0</v>
      </c>
      <c r="Z13">
        <v>0</v>
      </c>
      <c r="AA13" s="6">
        <v>41898</v>
      </c>
      <c r="AC13" s="7" t="s">
        <v>58</v>
      </c>
    </row>
    <row r="14" spans="1:64">
      <c r="A14" t="s">
        <v>115</v>
      </c>
      <c r="B14" t="s">
        <v>116</v>
      </c>
      <c r="C14" s="25">
        <v>45509</v>
      </c>
      <c r="D14" s="15">
        <v>46000</v>
      </c>
      <c r="E14" t="s">
        <v>46</v>
      </c>
      <c r="F14" t="s">
        <v>56</v>
      </c>
      <c r="G14" s="15">
        <v>46000</v>
      </c>
      <c r="H14" s="15">
        <v>18600</v>
      </c>
      <c r="I14" s="20">
        <f t="shared" si="0"/>
        <v>40.434782608695649</v>
      </c>
      <c r="J14" s="15">
        <v>39600</v>
      </c>
      <c r="K14" s="15">
        <f>G14-0</f>
        <v>46000</v>
      </c>
      <c r="L14" s="15">
        <v>39600</v>
      </c>
      <c r="M14" s="30">
        <v>0</v>
      </c>
      <c r="N14" s="34">
        <v>0</v>
      </c>
      <c r="O14" s="39">
        <v>5</v>
      </c>
      <c r="P14" s="39">
        <v>5</v>
      </c>
      <c r="Q14" s="15" t="e">
        <f t="shared" si="2"/>
        <v>#DIV/0!</v>
      </c>
      <c r="R14" s="15">
        <f t="shared" si="3"/>
        <v>9200</v>
      </c>
      <c r="S14" s="44">
        <f t="shared" si="4"/>
        <v>0.21120293847566574</v>
      </c>
      <c r="T14" s="39">
        <v>0</v>
      </c>
      <c r="U14" s="5" t="s">
        <v>48</v>
      </c>
      <c r="V14" t="s">
        <v>118</v>
      </c>
      <c r="X14" t="s">
        <v>51</v>
      </c>
      <c r="Y14">
        <v>0</v>
      </c>
      <c r="Z14">
        <v>0</v>
      </c>
      <c r="AA14" s="6">
        <v>41898</v>
      </c>
      <c r="AC14" s="7" t="s">
        <v>58</v>
      </c>
    </row>
    <row r="15" spans="1:64">
      <c r="A15" t="s">
        <v>276</v>
      </c>
      <c r="B15" t="s">
        <v>277</v>
      </c>
      <c r="C15" s="25">
        <v>45135</v>
      </c>
      <c r="D15" s="15">
        <v>60000</v>
      </c>
      <c r="E15" t="s">
        <v>46</v>
      </c>
      <c r="F15" t="s">
        <v>47</v>
      </c>
      <c r="G15" s="15">
        <v>60000</v>
      </c>
      <c r="H15" s="15">
        <v>30000</v>
      </c>
      <c r="I15" s="20">
        <f t="shared" si="0"/>
        <v>50</v>
      </c>
      <c r="J15" s="15">
        <v>60000</v>
      </c>
      <c r="K15" s="15">
        <f>G15-0</f>
        <v>60000</v>
      </c>
      <c r="L15" s="15">
        <v>60000</v>
      </c>
      <c r="M15" s="30">
        <v>600</v>
      </c>
      <c r="N15" s="34">
        <v>900</v>
      </c>
      <c r="O15" s="39">
        <v>4.1310000000000002</v>
      </c>
      <c r="P15" s="39">
        <v>1.377</v>
      </c>
      <c r="Q15" s="15">
        <f t="shared" si="2"/>
        <v>100</v>
      </c>
      <c r="R15" s="15">
        <f t="shared" si="3"/>
        <v>14524.328249818445</v>
      </c>
      <c r="S15" s="44">
        <f t="shared" si="4"/>
        <v>0.33343269627682381</v>
      </c>
      <c r="T15" s="39">
        <v>600</v>
      </c>
      <c r="U15" s="5" t="s">
        <v>48</v>
      </c>
      <c r="V15" t="s">
        <v>278</v>
      </c>
      <c r="W15" t="s">
        <v>279</v>
      </c>
      <c r="X15" t="s">
        <v>51</v>
      </c>
      <c r="Y15">
        <v>0</v>
      </c>
      <c r="Z15">
        <v>0</v>
      </c>
      <c r="AA15" s="6">
        <v>42095</v>
      </c>
      <c r="AC15" s="7" t="s">
        <v>52</v>
      </c>
      <c r="AD15" t="s">
        <v>280</v>
      </c>
    </row>
    <row r="16" spans="1:64">
      <c r="A16" t="s">
        <v>202</v>
      </c>
      <c r="B16" t="s">
        <v>123</v>
      </c>
      <c r="C16" s="25">
        <v>45401</v>
      </c>
      <c r="D16" s="15">
        <v>65000</v>
      </c>
      <c r="E16" t="s">
        <v>46</v>
      </c>
      <c r="F16" t="s">
        <v>56</v>
      </c>
      <c r="G16" s="15">
        <v>65000</v>
      </c>
      <c r="H16" s="15">
        <v>15200</v>
      </c>
      <c r="I16" s="20">
        <f t="shared" si="0"/>
        <v>23.384615384615383</v>
      </c>
      <c r="J16" s="15">
        <v>34697</v>
      </c>
      <c r="K16" s="15">
        <f>G16-0</f>
        <v>65000</v>
      </c>
      <c r="L16" s="15">
        <v>34100</v>
      </c>
      <c r="M16" s="30">
        <v>0</v>
      </c>
      <c r="N16" s="34">
        <v>0</v>
      </c>
      <c r="O16" s="39">
        <v>3.5</v>
      </c>
      <c r="P16" s="39">
        <v>3.5</v>
      </c>
      <c r="Q16" s="15" t="e">
        <f t="shared" si="2"/>
        <v>#DIV/0!</v>
      </c>
      <c r="R16" s="15">
        <f t="shared" si="3"/>
        <v>18571.428571428572</v>
      </c>
      <c r="S16" s="44">
        <f t="shared" si="4"/>
        <v>0.42634133543224456</v>
      </c>
      <c r="T16" s="39">
        <v>0</v>
      </c>
      <c r="U16" s="5" t="s">
        <v>48</v>
      </c>
      <c r="V16" t="s">
        <v>203</v>
      </c>
      <c r="X16" t="s">
        <v>51</v>
      </c>
      <c r="Y16">
        <v>0</v>
      </c>
      <c r="Z16">
        <v>0</v>
      </c>
      <c r="AA16" s="6">
        <v>42919</v>
      </c>
      <c r="AC16" s="7" t="s">
        <v>52</v>
      </c>
    </row>
    <row r="17" spans="1:38">
      <c r="A17" t="s">
        <v>119</v>
      </c>
      <c r="B17" t="s">
        <v>120</v>
      </c>
      <c r="C17" s="25">
        <v>45071</v>
      </c>
      <c r="D17" s="15">
        <v>68000</v>
      </c>
      <c r="E17" t="s">
        <v>46</v>
      </c>
      <c r="F17" t="s">
        <v>56</v>
      </c>
      <c r="G17" s="15">
        <v>68000</v>
      </c>
      <c r="H17" s="15">
        <v>58500</v>
      </c>
      <c r="I17" s="20">
        <f t="shared" si="0"/>
        <v>86.029411764705884</v>
      </c>
      <c r="J17" s="15">
        <v>51104</v>
      </c>
      <c r="K17" s="15">
        <f>G17-9496</f>
        <v>58504</v>
      </c>
      <c r="L17" s="15">
        <v>41608</v>
      </c>
      <c r="M17" s="30">
        <v>0</v>
      </c>
      <c r="N17" s="34">
        <v>0</v>
      </c>
      <c r="O17" s="39">
        <v>5.52</v>
      </c>
      <c r="P17" s="39">
        <v>5.52</v>
      </c>
      <c r="Q17" s="15" t="e">
        <f t="shared" si="2"/>
        <v>#DIV/0!</v>
      </c>
      <c r="R17" s="15">
        <f t="shared" si="3"/>
        <v>10598.550724637682</v>
      </c>
      <c r="S17" s="44">
        <f t="shared" si="4"/>
        <v>0.24330924528552988</v>
      </c>
      <c r="T17" s="39">
        <v>0</v>
      </c>
      <c r="U17" s="5" t="s">
        <v>48</v>
      </c>
      <c r="V17" t="s">
        <v>121</v>
      </c>
      <c r="X17" t="s">
        <v>51</v>
      </c>
      <c r="Y17">
        <v>0</v>
      </c>
      <c r="Z17">
        <v>0</v>
      </c>
      <c r="AA17" s="6">
        <v>42107</v>
      </c>
      <c r="AC17" s="7" t="s">
        <v>58</v>
      </c>
    </row>
    <row r="18" spans="1:38">
      <c r="A18" t="s">
        <v>252</v>
      </c>
      <c r="B18" t="s">
        <v>253</v>
      </c>
      <c r="C18" s="25">
        <v>45461</v>
      </c>
      <c r="D18" s="15">
        <v>70000</v>
      </c>
      <c r="E18" t="s">
        <v>46</v>
      </c>
      <c r="F18" t="s">
        <v>47</v>
      </c>
      <c r="G18" s="15">
        <v>70000</v>
      </c>
      <c r="H18" s="15">
        <v>48600</v>
      </c>
      <c r="I18" s="20">
        <f t="shared" si="0"/>
        <v>69.428571428571431</v>
      </c>
      <c r="J18" s="15">
        <v>94929</v>
      </c>
      <c r="K18" s="15">
        <f>G18-67736</f>
        <v>2264</v>
      </c>
      <c r="L18" s="15">
        <v>27193</v>
      </c>
      <c r="M18" s="30">
        <v>0</v>
      </c>
      <c r="N18" s="34">
        <v>0</v>
      </c>
      <c r="O18" s="39">
        <v>2.206</v>
      </c>
      <c r="P18" s="39">
        <v>0.58599999999999997</v>
      </c>
      <c r="Q18" s="15" t="e">
        <f t="shared" si="2"/>
        <v>#DIV/0!</v>
      </c>
      <c r="R18" s="15">
        <f t="shared" si="3"/>
        <v>1026.2919310970083</v>
      </c>
      <c r="S18" s="44">
        <f t="shared" si="4"/>
        <v>2.3560420824081916E-2</v>
      </c>
      <c r="T18" s="39">
        <v>0</v>
      </c>
      <c r="U18" s="5" t="s">
        <v>48</v>
      </c>
      <c r="V18" t="s">
        <v>254</v>
      </c>
      <c r="W18" t="s">
        <v>255</v>
      </c>
      <c r="X18" t="s">
        <v>51</v>
      </c>
      <c r="Y18">
        <v>0</v>
      </c>
      <c r="Z18">
        <v>0</v>
      </c>
      <c r="AA18" s="6">
        <v>43045</v>
      </c>
      <c r="AC18" s="7" t="s">
        <v>58</v>
      </c>
    </row>
    <row r="19" spans="1:38">
      <c r="A19" t="s">
        <v>63</v>
      </c>
      <c r="B19" t="s">
        <v>64</v>
      </c>
      <c r="C19" s="25">
        <v>45226</v>
      </c>
      <c r="D19" s="15">
        <v>75000</v>
      </c>
      <c r="E19" t="s">
        <v>46</v>
      </c>
      <c r="F19" t="s">
        <v>56</v>
      </c>
      <c r="G19" s="15">
        <v>75000</v>
      </c>
      <c r="H19" s="15">
        <v>44000</v>
      </c>
      <c r="I19" s="20">
        <f t="shared" si="0"/>
        <v>58.666666666666664</v>
      </c>
      <c r="J19" s="15">
        <v>101730</v>
      </c>
      <c r="K19" s="15">
        <f>G19-62522</f>
        <v>12478</v>
      </c>
      <c r="L19" s="15">
        <v>39208</v>
      </c>
      <c r="M19" s="30">
        <v>0</v>
      </c>
      <c r="N19" s="34">
        <v>0</v>
      </c>
      <c r="O19" s="39">
        <v>5</v>
      </c>
      <c r="P19" s="39">
        <v>5</v>
      </c>
      <c r="Q19" s="15" t="e">
        <f t="shared" si="2"/>
        <v>#DIV/0!</v>
      </c>
      <c r="R19" s="15">
        <f t="shared" si="3"/>
        <v>2495.6</v>
      </c>
      <c r="S19" s="44">
        <f t="shared" si="4"/>
        <v>5.7291092745638199E-2</v>
      </c>
      <c r="T19" s="39">
        <v>0</v>
      </c>
      <c r="U19" s="5" t="s">
        <v>48</v>
      </c>
      <c r="V19" t="s">
        <v>65</v>
      </c>
      <c r="X19" t="s">
        <v>51</v>
      </c>
      <c r="Y19">
        <v>0</v>
      </c>
      <c r="Z19">
        <v>0</v>
      </c>
      <c r="AA19" s="6">
        <v>44516</v>
      </c>
      <c r="AC19" s="7" t="s">
        <v>58</v>
      </c>
    </row>
    <row r="20" spans="1:38">
      <c r="A20" t="s">
        <v>230</v>
      </c>
      <c r="B20" t="s">
        <v>231</v>
      </c>
      <c r="C20" s="25">
        <v>45392</v>
      </c>
      <c r="D20" s="15">
        <v>80000</v>
      </c>
      <c r="E20" t="s">
        <v>46</v>
      </c>
      <c r="F20" t="s">
        <v>56</v>
      </c>
      <c r="G20" s="15">
        <v>80000</v>
      </c>
      <c r="H20" s="15">
        <v>33000</v>
      </c>
      <c r="I20" s="20">
        <f t="shared" si="0"/>
        <v>41.25</v>
      </c>
      <c r="J20" s="15">
        <v>68380</v>
      </c>
      <c r="K20" s="15">
        <f>G20-0</f>
        <v>80000</v>
      </c>
      <c r="L20" s="15">
        <v>68380</v>
      </c>
      <c r="M20" s="30">
        <v>0</v>
      </c>
      <c r="N20" s="34">
        <v>0</v>
      </c>
      <c r="O20" s="39">
        <v>16.14</v>
      </c>
      <c r="P20" s="39">
        <v>16.14</v>
      </c>
      <c r="Q20" s="15" t="e">
        <f t="shared" si="2"/>
        <v>#DIV/0!</v>
      </c>
      <c r="R20" s="15">
        <f t="shared" si="3"/>
        <v>4956.6294919454767</v>
      </c>
      <c r="S20" s="44">
        <f t="shared" si="4"/>
        <v>0.11378855582978596</v>
      </c>
      <c r="T20" s="39">
        <v>0</v>
      </c>
      <c r="U20" s="5" t="s">
        <v>48</v>
      </c>
      <c r="V20" t="s">
        <v>232</v>
      </c>
      <c r="X20" t="s">
        <v>51</v>
      </c>
      <c r="Y20">
        <v>0</v>
      </c>
      <c r="Z20">
        <v>0</v>
      </c>
      <c r="AA20" s="6">
        <v>43040</v>
      </c>
      <c r="AC20" s="7" t="s">
        <v>52</v>
      </c>
    </row>
    <row r="21" spans="1:38">
      <c r="A21" t="s">
        <v>44</v>
      </c>
      <c r="B21" t="s">
        <v>45</v>
      </c>
      <c r="C21" s="25">
        <v>45182</v>
      </c>
      <c r="D21" s="15">
        <v>95000</v>
      </c>
      <c r="E21" t="s">
        <v>46</v>
      </c>
      <c r="F21" t="s">
        <v>47</v>
      </c>
      <c r="G21" s="15">
        <v>95000</v>
      </c>
      <c r="H21" s="15">
        <v>47000</v>
      </c>
      <c r="I21" s="20">
        <f t="shared" si="0"/>
        <v>49.473684210526315</v>
      </c>
      <c r="J21" s="15">
        <v>93857</v>
      </c>
      <c r="K21" s="15">
        <f>G21-0</f>
        <v>95000</v>
      </c>
      <c r="L21" s="15">
        <v>93857</v>
      </c>
      <c r="M21" s="30">
        <v>0</v>
      </c>
      <c r="N21" s="34">
        <v>0</v>
      </c>
      <c r="O21" s="39">
        <v>21.68</v>
      </c>
      <c r="P21" s="39">
        <v>17.010000000000002</v>
      </c>
      <c r="Q21" s="15" t="e">
        <f t="shared" si="2"/>
        <v>#DIV/0!</v>
      </c>
      <c r="R21" s="15">
        <f t="shared" si="3"/>
        <v>4381.9188191881922</v>
      </c>
      <c r="S21" s="44">
        <f t="shared" si="4"/>
        <v>0.10059501421460497</v>
      </c>
      <c r="T21" s="39">
        <v>0</v>
      </c>
      <c r="U21" s="5" t="s">
        <v>48</v>
      </c>
      <c r="V21" t="s">
        <v>49</v>
      </c>
      <c r="W21" t="s">
        <v>50</v>
      </c>
      <c r="X21" t="s">
        <v>51</v>
      </c>
      <c r="Y21">
        <v>0</v>
      </c>
      <c r="Z21">
        <v>0</v>
      </c>
      <c r="AA21" s="6">
        <v>41775</v>
      </c>
      <c r="AC21" s="7" t="s">
        <v>52</v>
      </c>
      <c r="AL21" s="2"/>
    </row>
    <row r="22" spans="1:38">
      <c r="A22" t="s">
        <v>88</v>
      </c>
      <c r="B22" t="s">
        <v>89</v>
      </c>
      <c r="C22" s="25">
        <v>45433</v>
      </c>
      <c r="D22" s="15">
        <v>106000</v>
      </c>
      <c r="E22" t="s">
        <v>46</v>
      </c>
      <c r="F22" t="s">
        <v>56</v>
      </c>
      <c r="G22" s="15">
        <v>106000</v>
      </c>
      <c r="H22" s="15">
        <v>38600</v>
      </c>
      <c r="I22" s="20">
        <f t="shared" si="0"/>
        <v>36.415094339622641</v>
      </c>
      <c r="J22" s="15">
        <v>96932</v>
      </c>
      <c r="K22" s="15">
        <f>G22-56604</f>
        <v>49396</v>
      </c>
      <c r="L22" s="15">
        <v>40328</v>
      </c>
      <c r="M22" s="30">
        <v>0</v>
      </c>
      <c r="N22" s="34">
        <v>0</v>
      </c>
      <c r="O22" s="39">
        <v>5</v>
      </c>
      <c r="P22" s="39">
        <v>5</v>
      </c>
      <c r="Q22" s="15" t="e">
        <f t="shared" si="2"/>
        <v>#DIV/0!</v>
      </c>
      <c r="R22" s="15">
        <f t="shared" si="3"/>
        <v>9879.2000000000007</v>
      </c>
      <c r="S22" s="44">
        <f t="shared" si="4"/>
        <v>0.22679522497704319</v>
      </c>
      <c r="T22" s="39">
        <v>0</v>
      </c>
      <c r="U22" s="5" t="s">
        <v>48</v>
      </c>
      <c r="V22" t="s">
        <v>90</v>
      </c>
      <c r="X22" t="s">
        <v>51</v>
      </c>
      <c r="Y22">
        <v>0</v>
      </c>
      <c r="Z22">
        <v>1</v>
      </c>
      <c r="AA22" s="6">
        <v>41829</v>
      </c>
      <c r="AC22" s="7" t="s">
        <v>58</v>
      </c>
    </row>
    <row r="23" spans="1:38">
      <c r="A23" t="s">
        <v>112</v>
      </c>
      <c r="B23" t="s">
        <v>113</v>
      </c>
      <c r="C23" s="25">
        <v>45331</v>
      </c>
      <c r="D23" s="15">
        <v>125000</v>
      </c>
      <c r="E23" t="s">
        <v>46</v>
      </c>
      <c r="F23" t="s">
        <v>56</v>
      </c>
      <c r="G23" s="15">
        <v>125000</v>
      </c>
      <c r="H23" s="15">
        <v>29100</v>
      </c>
      <c r="I23" s="20">
        <f t="shared" si="0"/>
        <v>23.28</v>
      </c>
      <c r="J23" s="15">
        <v>71040</v>
      </c>
      <c r="K23" s="15">
        <f>G23-16890</f>
        <v>108110</v>
      </c>
      <c r="L23" s="15">
        <v>54150</v>
      </c>
      <c r="M23" s="30">
        <v>0</v>
      </c>
      <c r="N23" s="34">
        <v>0</v>
      </c>
      <c r="O23" s="39">
        <v>10</v>
      </c>
      <c r="P23" s="39">
        <v>10</v>
      </c>
      <c r="Q23" s="15" t="e">
        <f t="shared" si="2"/>
        <v>#DIV/0!</v>
      </c>
      <c r="R23" s="15">
        <f t="shared" si="3"/>
        <v>10811</v>
      </c>
      <c r="S23" s="44">
        <f t="shared" si="4"/>
        <v>0.24818640955004592</v>
      </c>
      <c r="T23" s="39">
        <v>0</v>
      </c>
      <c r="U23" s="5" t="s">
        <v>48</v>
      </c>
      <c r="V23" t="s">
        <v>114</v>
      </c>
      <c r="X23" t="s">
        <v>51</v>
      </c>
      <c r="Y23">
        <v>0</v>
      </c>
      <c r="Z23">
        <v>1</v>
      </c>
      <c r="AA23" s="6">
        <v>41897</v>
      </c>
      <c r="AC23" s="7" t="s">
        <v>58</v>
      </c>
    </row>
    <row r="24" spans="1:38">
      <c r="A24" t="s">
        <v>185</v>
      </c>
      <c r="B24" t="s">
        <v>186</v>
      </c>
      <c r="C24" s="25">
        <v>45257</v>
      </c>
      <c r="D24" s="15">
        <v>126000</v>
      </c>
      <c r="E24" t="s">
        <v>46</v>
      </c>
      <c r="F24" t="s">
        <v>56</v>
      </c>
      <c r="G24" s="15">
        <v>126000</v>
      </c>
      <c r="H24" s="15">
        <v>24400</v>
      </c>
      <c r="I24" s="20">
        <f t="shared" si="0"/>
        <v>19.365079365079367</v>
      </c>
      <c r="J24" s="15">
        <v>70334</v>
      </c>
      <c r="K24" s="15">
        <f>G24-41234</f>
        <v>84766</v>
      </c>
      <c r="L24" s="15">
        <v>29100</v>
      </c>
      <c r="M24" s="30">
        <v>0</v>
      </c>
      <c r="N24" s="34">
        <v>0</v>
      </c>
      <c r="O24" s="39">
        <v>2.5</v>
      </c>
      <c r="P24" s="39">
        <v>2.5</v>
      </c>
      <c r="Q24" s="15" t="e">
        <f t="shared" si="2"/>
        <v>#DIV/0!</v>
      </c>
      <c r="R24" s="15">
        <f t="shared" si="3"/>
        <v>33906.400000000001</v>
      </c>
      <c r="S24" s="44">
        <f t="shared" si="4"/>
        <v>0.7783838383838384</v>
      </c>
      <c r="T24" s="39">
        <v>0</v>
      </c>
      <c r="U24" s="5" t="s">
        <v>48</v>
      </c>
      <c r="V24" t="s">
        <v>187</v>
      </c>
      <c r="X24" t="s">
        <v>51</v>
      </c>
      <c r="Y24">
        <v>0</v>
      </c>
      <c r="Z24">
        <v>1</v>
      </c>
      <c r="AA24" s="6">
        <v>42912</v>
      </c>
      <c r="AC24" s="7" t="s">
        <v>58</v>
      </c>
    </row>
    <row r="25" spans="1:38">
      <c r="A25" t="s">
        <v>273</v>
      </c>
      <c r="B25" t="s">
        <v>274</v>
      </c>
      <c r="C25" s="25">
        <v>45469</v>
      </c>
      <c r="D25" s="15">
        <v>130000</v>
      </c>
      <c r="E25" t="s">
        <v>46</v>
      </c>
      <c r="F25" t="s">
        <v>56</v>
      </c>
      <c r="G25" s="15">
        <v>130000</v>
      </c>
      <c r="H25" s="15">
        <v>38100</v>
      </c>
      <c r="I25" s="20">
        <f t="shared" si="0"/>
        <v>29.307692307692307</v>
      </c>
      <c r="J25" s="15">
        <v>107557</v>
      </c>
      <c r="K25" s="15">
        <f>G25-95312</f>
        <v>34688</v>
      </c>
      <c r="L25" s="15">
        <v>12245</v>
      </c>
      <c r="M25" s="30">
        <v>0</v>
      </c>
      <c r="N25" s="34">
        <v>0</v>
      </c>
      <c r="O25" s="39">
        <v>1.1299999999999999</v>
      </c>
      <c r="P25" s="39">
        <v>1.1299999999999999</v>
      </c>
      <c r="Q25" s="15" t="e">
        <f t="shared" si="2"/>
        <v>#DIV/0!</v>
      </c>
      <c r="R25" s="15">
        <f t="shared" si="3"/>
        <v>30697.345132743365</v>
      </c>
      <c r="S25" s="44">
        <f t="shared" si="4"/>
        <v>0.70471407559098631</v>
      </c>
      <c r="T25" s="39">
        <v>0</v>
      </c>
      <c r="U25" s="5" t="s">
        <v>48</v>
      </c>
      <c r="V25" t="s">
        <v>275</v>
      </c>
      <c r="X25" t="s">
        <v>51</v>
      </c>
      <c r="Y25">
        <v>0</v>
      </c>
      <c r="Z25">
        <v>0</v>
      </c>
      <c r="AA25" s="6">
        <v>43066</v>
      </c>
      <c r="AC25" s="7" t="s">
        <v>58</v>
      </c>
    </row>
    <row r="26" spans="1:38">
      <c r="A26" t="s">
        <v>106</v>
      </c>
      <c r="B26" t="s">
        <v>107</v>
      </c>
      <c r="C26" s="25">
        <v>45029</v>
      </c>
      <c r="D26" s="15">
        <v>145000</v>
      </c>
      <c r="E26" t="s">
        <v>55</v>
      </c>
      <c r="F26" t="s">
        <v>56</v>
      </c>
      <c r="G26" s="15">
        <v>145000</v>
      </c>
      <c r="H26" s="15">
        <v>53500</v>
      </c>
      <c r="I26" s="20">
        <f t="shared" si="0"/>
        <v>36.896551724137936</v>
      </c>
      <c r="J26" s="15">
        <v>143940</v>
      </c>
      <c r="K26" s="15">
        <f>G26-88862</f>
        <v>56138</v>
      </c>
      <c r="L26" s="15">
        <v>55078</v>
      </c>
      <c r="M26" s="30">
        <v>0</v>
      </c>
      <c r="N26" s="34">
        <v>0</v>
      </c>
      <c r="O26" s="39">
        <v>10.039999999999999</v>
      </c>
      <c r="P26" s="39">
        <v>10.039999999999999</v>
      </c>
      <c r="Q26" s="15" t="e">
        <f t="shared" si="2"/>
        <v>#DIV/0!</v>
      </c>
      <c r="R26" s="15">
        <f t="shared" si="3"/>
        <v>5591.434262948208</v>
      </c>
      <c r="S26" s="44">
        <f t="shared" si="4"/>
        <v>0.12836166811175867</v>
      </c>
      <c r="T26" s="39">
        <v>0</v>
      </c>
      <c r="U26" s="5" t="s">
        <v>48</v>
      </c>
      <c r="X26" t="s">
        <v>51</v>
      </c>
      <c r="Y26">
        <v>0</v>
      </c>
      <c r="Z26">
        <v>0</v>
      </c>
      <c r="AA26" s="6">
        <v>44518</v>
      </c>
      <c r="AC26" s="7" t="s">
        <v>58</v>
      </c>
    </row>
    <row r="27" spans="1:38">
      <c r="A27" t="s">
        <v>147</v>
      </c>
      <c r="B27" t="s">
        <v>148</v>
      </c>
      <c r="C27" s="25">
        <v>45236</v>
      </c>
      <c r="D27" s="15">
        <v>149900</v>
      </c>
      <c r="E27" t="s">
        <v>46</v>
      </c>
      <c r="F27" t="s">
        <v>56</v>
      </c>
      <c r="G27" s="15">
        <v>149900</v>
      </c>
      <c r="H27" s="15">
        <v>81600</v>
      </c>
      <c r="I27" s="20">
        <f t="shared" si="0"/>
        <v>54.436290860573713</v>
      </c>
      <c r="J27" s="15">
        <v>112667</v>
      </c>
      <c r="K27" s="15">
        <f>G27-58517</f>
        <v>91383</v>
      </c>
      <c r="L27" s="15">
        <v>54150</v>
      </c>
      <c r="M27" s="30">
        <v>0</v>
      </c>
      <c r="N27" s="34">
        <v>0</v>
      </c>
      <c r="O27" s="39">
        <v>10</v>
      </c>
      <c r="P27" s="39">
        <v>10</v>
      </c>
      <c r="Q27" s="15" t="e">
        <f t="shared" si="2"/>
        <v>#DIV/0!</v>
      </c>
      <c r="R27" s="15">
        <f t="shared" si="3"/>
        <v>9138.2999999999993</v>
      </c>
      <c r="S27" s="44">
        <f t="shared" si="4"/>
        <v>0.20978650137741045</v>
      </c>
      <c r="T27" s="39">
        <v>0</v>
      </c>
      <c r="U27" s="5" t="s">
        <v>48</v>
      </c>
      <c r="V27" t="s">
        <v>149</v>
      </c>
      <c r="X27" t="s">
        <v>51</v>
      </c>
      <c r="Y27">
        <v>0</v>
      </c>
      <c r="Z27">
        <v>1</v>
      </c>
      <c r="AA27" s="6">
        <v>42537</v>
      </c>
      <c r="AC27" s="7" t="s">
        <v>58</v>
      </c>
    </row>
    <row r="28" spans="1:38">
      <c r="A28" t="s">
        <v>126</v>
      </c>
      <c r="B28" t="s">
        <v>127</v>
      </c>
      <c r="C28" s="25">
        <v>45366</v>
      </c>
      <c r="D28" s="15">
        <v>156000</v>
      </c>
      <c r="E28" t="s">
        <v>46</v>
      </c>
      <c r="F28" t="s">
        <v>56</v>
      </c>
      <c r="G28" s="15">
        <v>156000</v>
      </c>
      <c r="H28" s="15">
        <v>40600</v>
      </c>
      <c r="I28" s="20">
        <f t="shared" si="0"/>
        <v>26.025641025641029</v>
      </c>
      <c r="J28" s="15">
        <v>96899</v>
      </c>
      <c r="K28" s="15">
        <f>G28-74989</f>
        <v>81011</v>
      </c>
      <c r="L28" s="15">
        <v>21910</v>
      </c>
      <c r="M28" s="30">
        <v>0</v>
      </c>
      <c r="N28" s="34">
        <v>0</v>
      </c>
      <c r="O28" s="39">
        <v>1.81</v>
      </c>
      <c r="P28" s="39">
        <v>2</v>
      </c>
      <c r="Q28" s="15" t="e">
        <f t="shared" si="2"/>
        <v>#DIV/0!</v>
      </c>
      <c r="R28" s="15">
        <f t="shared" si="3"/>
        <v>44757.458563535911</v>
      </c>
      <c r="S28" s="44">
        <f t="shared" si="4"/>
        <v>1.027489866013221</v>
      </c>
      <c r="T28" s="39">
        <v>247</v>
      </c>
      <c r="U28" s="5" t="s">
        <v>48</v>
      </c>
      <c r="V28" t="s">
        <v>128</v>
      </c>
      <c r="X28" t="s">
        <v>51</v>
      </c>
      <c r="Y28">
        <v>0</v>
      </c>
      <c r="Z28">
        <v>0</v>
      </c>
      <c r="AA28" s="6">
        <v>42095</v>
      </c>
      <c r="AC28" s="7" t="s">
        <v>58</v>
      </c>
      <c r="AD28" t="s">
        <v>79</v>
      </c>
    </row>
    <row r="29" spans="1:38">
      <c r="A29" t="s">
        <v>264</v>
      </c>
      <c r="B29" t="s">
        <v>265</v>
      </c>
      <c r="C29" s="25">
        <v>45554</v>
      </c>
      <c r="D29" s="15">
        <v>165000</v>
      </c>
      <c r="E29" t="s">
        <v>46</v>
      </c>
      <c r="F29" t="s">
        <v>56</v>
      </c>
      <c r="G29" s="15">
        <v>165000</v>
      </c>
      <c r="H29" s="15">
        <v>69500</v>
      </c>
      <c r="I29" s="20">
        <f t="shared" si="0"/>
        <v>42.121212121212118</v>
      </c>
      <c r="J29" s="15">
        <v>192339</v>
      </c>
      <c r="K29" s="15">
        <f>G29-158967</f>
        <v>6033</v>
      </c>
      <c r="L29" s="15">
        <v>33372</v>
      </c>
      <c r="M29" s="30">
        <v>0</v>
      </c>
      <c r="N29" s="34">
        <v>0</v>
      </c>
      <c r="O29" s="39">
        <v>3.38</v>
      </c>
      <c r="P29" s="39">
        <v>3.38</v>
      </c>
      <c r="Q29" s="15" t="e">
        <f t="shared" si="2"/>
        <v>#DIV/0!</v>
      </c>
      <c r="R29" s="15">
        <f t="shared" si="3"/>
        <v>1784.9112426035504</v>
      </c>
      <c r="S29" s="44">
        <f t="shared" si="4"/>
        <v>4.0975923843056712E-2</v>
      </c>
      <c r="T29" s="39">
        <v>0</v>
      </c>
      <c r="U29" s="5" t="s">
        <v>48</v>
      </c>
      <c r="V29" t="s">
        <v>266</v>
      </c>
      <c r="X29" t="s">
        <v>51</v>
      </c>
      <c r="Y29">
        <v>0</v>
      </c>
      <c r="Z29">
        <v>1</v>
      </c>
      <c r="AA29" s="6">
        <v>43057</v>
      </c>
      <c r="AC29" s="7" t="s">
        <v>58</v>
      </c>
    </row>
    <row r="30" spans="1:38">
      <c r="A30" t="s">
        <v>60</v>
      </c>
      <c r="B30" t="s">
        <v>61</v>
      </c>
      <c r="C30" s="25">
        <v>45663</v>
      </c>
      <c r="D30" s="15">
        <v>181000</v>
      </c>
      <c r="E30" t="s">
        <v>46</v>
      </c>
      <c r="F30" t="s">
        <v>56</v>
      </c>
      <c r="G30" s="15">
        <v>181000</v>
      </c>
      <c r="H30" s="15">
        <v>55100</v>
      </c>
      <c r="I30" s="20">
        <f t="shared" si="0"/>
        <v>30.441988950276244</v>
      </c>
      <c r="J30" s="15">
        <v>143928</v>
      </c>
      <c r="K30" s="15">
        <f>G30-109178</f>
        <v>71822</v>
      </c>
      <c r="L30" s="15">
        <v>34750</v>
      </c>
      <c r="M30" s="30">
        <v>0</v>
      </c>
      <c r="N30" s="34">
        <v>0</v>
      </c>
      <c r="O30" s="39">
        <v>4</v>
      </c>
      <c r="P30" s="39">
        <v>4</v>
      </c>
      <c r="Q30" s="15" t="e">
        <f t="shared" si="2"/>
        <v>#DIV/0!</v>
      </c>
      <c r="R30" s="15">
        <f t="shared" si="3"/>
        <v>17955.5</v>
      </c>
      <c r="S30" s="44">
        <f t="shared" si="4"/>
        <v>0.41220156106519745</v>
      </c>
      <c r="T30" s="39">
        <v>0</v>
      </c>
      <c r="U30" s="5" t="s">
        <v>48</v>
      </c>
      <c r="V30" t="s">
        <v>62</v>
      </c>
      <c r="X30" t="s">
        <v>51</v>
      </c>
      <c r="Y30">
        <v>0</v>
      </c>
      <c r="Z30">
        <v>0</v>
      </c>
      <c r="AA30" s="6">
        <v>43598</v>
      </c>
      <c r="AC30" s="7" t="s">
        <v>58</v>
      </c>
    </row>
    <row r="31" spans="1:38">
      <c r="A31" t="s">
        <v>80</v>
      </c>
      <c r="B31" t="s">
        <v>81</v>
      </c>
      <c r="C31" s="25">
        <v>45299</v>
      </c>
      <c r="D31" s="15">
        <v>190000</v>
      </c>
      <c r="E31" t="s">
        <v>46</v>
      </c>
      <c r="F31" t="s">
        <v>56</v>
      </c>
      <c r="G31" s="15">
        <v>190000</v>
      </c>
      <c r="H31" s="15">
        <v>36600</v>
      </c>
      <c r="I31" s="20">
        <f t="shared" si="0"/>
        <v>19.263157894736842</v>
      </c>
      <c r="J31" s="15">
        <v>113537</v>
      </c>
      <c r="K31" s="15">
        <f>G31-89401</f>
        <v>100599</v>
      </c>
      <c r="L31" s="15">
        <v>24136</v>
      </c>
      <c r="M31" s="30">
        <v>0</v>
      </c>
      <c r="N31" s="34">
        <v>0</v>
      </c>
      <c r="O31" s="39">
        <v>2.5</v>
      </c>
      <c r="P31" s="39">
        <v>2.5</v>
      </c>
      <c r="Q31" s="15" t="e">
        <f t="shared" si="2"/>
        <v>#DIV/0!</v>
      </c>
      <c r="R31" s="15">
        <f t="shared" si="3"/>
        <v>40239.599999999999</v>
      </c>
      <c r="S31" s="44">
        <f t="shared" si="4"/>
        <v>0.92377410468319554</v>
      </c>
      <c r="T31" s="39">
        <v>0</v>
      </c>
      <c r="U31" s="5" t="s">
        <v>48</v>
      </c>
      <c r="V31" t="s">
        <v>82</v>
      </c>
      <c r="X31" t="s">
        <v>51</v>
      </c>
      <c r="Y31">
        <v>0</v>
      </c>
      <c r="Z31">
        <v>0</v>
      </c>
      <c r="AA31" s="6">
        <v>41831</v>
      </c>
      <c r="AC31" s="7" t="s">
        <v>58</v>
      </c>
    </row>
    <row r="32" spans="1:38">
      <c r="A32" t="s">
        <v>132</v>
      </c>
      <c r="B32" t="s">
        <v>133</v>
      </c>
      <c r="C32" s="25">
        <v>45387</v>
      </c>
      <c r="D32" s="15">
        <v>190000</v>
      </c>
      <c r="E32" t="s">
        <v>46</v>
      </c>
      <c r="F32" t="s">
        <v>56</v>
      </c>
      <c r="G32" s="15">
        <v>190000</v>
      </c>
      <c r="H32" s="15">
        <v>65300</v>
      </c>
      <c r="I32" s="20">
        <f t="shared" si="0"/>
        <v>34.368421052631582</v>
      </c>
      <c r="J32" s="15">
        <v>164151</v>
      </c>
      <c r="K32" s="15">
        <f>G32-103506</f>
        <v>86494</v>
      </c>
      <c r="L32" s="15">
        <v>60645</v>
      </c>
      <c r="M32" s="30">
        <v>0</v>
      </c>
      <c r="N32" s="34">
        <v>0</v>
      </c>
      <c r="O32" s="39">
        <v>13.5</v>
      </c>
      <c r="P32" s="39">
        <v>13.5</v>
      </c>
      <c r="Q32" s="15" t="e">
        <f t="shared" si="2"/>
        <v>#DIV/0!</v>
      </c>
      <c r="R32" s="15">
        <f t="shared" si="3"/>
        <v>6406.9629629629626</v>
      </c>
      <c r="S32" s="44">
        <f t="shared" si="4"/>
        <v>0.14708363092201476</v>
      </c>
      <c r="T32" s="39">
        <v>0</v>
      </c>
      <c r="U32" s="5" t="s">
        <v>48</v>
      </c>
      <c r="V32" t="s">
        <v>134</v>
      </c>
      <c r="X32" t="s">
        <v>51</v>
      </c>
      <c r="Y32">
        <v>0</v>
      </c>
      <c r="Z32">
        <v>1</v>
      </c>
      <c r="AA32" s="6">
        <v>42107</v>
      </c>
      <c r="AC32" s="7" t="s">
        <v>58</v>
      </c>
    </row>
    <row r="33" spans="1:30">
      <c r="A33" t="s">
        <v>144</v>
      </c>
      <c r="B33" t="s">
        <v>145</v>
      </c>
      <c r="C33" s="25">
        <v>45684</v>
      </c>
      <c r="D33" s="15">
        <v>195000</v>
      </c>
      <c r="E33" t="s">
        <v>46</v>
      </c>
      <c r="F33" t="s">
        <v>56</v>
      </c>
      <c r="G33" s="15">
        <v>195000</v>
      </c>
      <c r="H33" s="15">
        <v>61200</v>
      </c>
      <c r="I33" s="20">
        <f t="shared" si="0"/>
        <v>31.384615384615383</v>
      </c>
      <c r="J33" s="15">
        <v>164408</v>
      </c>
      <c r="K33" s="15">
        <f>G33-142608</f>
        <v>52392</v>
      </c>
      <c r="L33" s="15">
        <v>21800</v>
      </c>
      <c r="M33" s="30">
        <v>0</v>
      </c>
      <c r="N33" s="34">
        <v>0</v>
      </c>
      <c r="O33" s="39">
        <v>1.8</v>
      </c>
      <c r="P33" s="39">
        <v>1.8</v>
      </c>
      <c r="Q33" s="15" t="e">
        <f t="shared" si="2"/>
        <v>#DIV/0!</v>
      </c>
      <c r="R33" s="15">
        <f t="shared" si="3"/>
        <v>29106.666666666664</v>
      </c>
      <c r="S33" s="44">
        <f t="shared" si="4"/>
        <v>0.66819712274257725</v>
      </c>
      <c r="T33" s="39">
        <v>0</v>
      </c>
      <c r="U33" s="5" t="s">
        <v>48</v>
      </c>
      <c r="V33" t="s">
        <v>146</v>
      </c>
      <c r="X33" t="s">
        <v>51</v>
      </c>
      <c r="Y33">
        <v>0</v>
      </c>
      <c r="Z33">
        <v>0</v>
      </c>
      <c r="AA33" s="6">
        <v>42538</v>
      </c>
      <c r="AC33" s="7" t="s">
        <v>58</v>
      </c>
    </row>
    <row r="34" spans="1:30">
      <c r="A34" t="s">
        <v>225</v>
      </c>
      <c r="B34" t="s">
        <v>226</v>
      </c>
      <c r="C34" s="25">
        <v>45268</v>
      </c>
      <c r="D34" s="15">
        <v>195000</v>
      </c>
      <c r="E34" t="s">
        <v>55</v>
      </c>
      <c r="F34" t="s">
        <v>56</v>
      </c>
      <c r="G34" s="15">
        <v>195000</v>
      </c>
      <c r="H34" s="15">
        <v>67300</v>
      </c>
      <c r="I34" s="20">
        <f t="shared" ref="I34:I65" si="5">H34/G34*100</f>
        <v>34.512820512820511</v>
      </c>
      <c r="J34" s="15">
        <v>137000</v>
      </c>
      <c r="K34" s="15">
        <f>G34-0</f>
        <v>195000</v>
      </c>
      <c r="L34" s="15">
        <v>137000</v>
      </c>
      <c r="M34" s="30">
        <v>0</v>
      </c>
      <c r="N34" s="34">
        <v>0</v>
      </c>
      <c r="O34" s="39">
        <v>40</v>
      </c>
      <c r="P34" s="39">
        <v>40</v>
      </c>
      <c r="Q34" s="15" t="e">
        <f t="shared" ref="Q34:Q65" si="6">K34/M34</f>
        <v>#DIV/0!</v>
      </c>
      <c r="R34" s="15">
        <f t="shared" ref="R34:R65" si="7">K34/O34</f>
        <v>4875</v>
      </c>
      <c r="S34" s="44">
        <f t="shared" ref="S34:S65" si="8">K34/O34/43560</f>
        <v>0.11191460055096419</v>
      </c>
      <c r="T34" s="39">
        <v>0</v>
      </c>
      <c r="U34" s="5" t="s">
        <v>48</v>
      </c>
      <c r="X34" t="s">
        <v>51</v>
      </c>
      <c r="Y34">
        <v>1</v>
      </c>
      <c r="Z34">
        <v>0</v>
      </c>
      <c r="AA34" s="6">
        <v>43026</v>
      </c>
      <c r="AC34" s="7" t="s">
        <v>52</v>
      </c>
    </row>
    <row r="35" spans="1:30">
      <c r="A35" t="s">
        <v>135</v>
      </c>
      <c r="B35" t="s">
        <v>136</v>
      </c>
      <c r="C35" s="25">
        <v>45357</v>
      </c>
      <c r="D35" s="15">
        <v>210000</v>
      </c>
      <c r="E35" t="s">
        <v>46</v>
      </c>
      <c r="F35" t="s">
        <v>56</v>
      </c>
      <c r="G35" s="15">
        <v>210000</v>
      </c>
      <c r="H35" s="15">
        <v>58100</v>
      </c>
      <c r="I35" s="20">
        <f t="shared" si="5"/>
        <v>27.666666666666668</v>
      </c>
      <c r="J35" s="15">
        <v>197703</v>
      </c>
      <c r="K35" s="15">
        <f>G35-175463</f>
        <v>34537</v>
      </c>
      <c r="L35" s="15">
        <v>22240</v>
      </c>
      <c r="M35" s="30">
        <v>0</v>
      </c>
      <c r="N35" s="34">
        <v>0</v>
      </c>
      <c r="O35" s="39">
        <v>2.8</v>
      </c>
      <c r="P35" s="39">
        <v>2.8</v>
      </c>
      <c r="Q35" s="15" t="e">
        <f t="shared" si="6"/>
        <v>#DIV/0!</v>
      </c>
      <c r="R35" s="15">
        <f t="shared" si="7"/>
        <v>12334.642857142859</v>
      </c>
      <c r="S35" s="44">
        <f t="shared" si="8"/>
        <v>0.28316443657352752</v>
      </c>
      <c r="T35" s="39">
        <v>0</v>
      </c>
      <c r="U35" s="5" t="s">
        <v>48</v>
      </c>
      <c r="V35" t="s">
        <v>137</v>
      </c>
      <c r="X35" t="s">
        <v>51</v>
      </c>
      <c r="Y35">
        <v>0</v>
      </c>
      <c r="Z35">
        <v>1</v>
      </c>
      <c r="AA35" s="6">
        <v>42107</v>
      </c>
      <c r="AC35" s="7" t="s">
        <v>58</v>
      </c>
    </row>
    <row r="36" spans="1:30">
      <c r="A36" t="s">
        <v>174</v>
      </c>
      <c r="B36" t="s">
        <v>175</v>
      </c>
      <c r="C36" s="25">
        <v>45132</v>
      </c>
      <c r="D36" s="15">
        <v>212000</v>
      </c>
      <c r="E36" t="s">
        <v>46</v>
      </c>
      <c r="F36" t="s">
        <v>47</v>
      </c>
      <c r="G36" s="15">
        <v>212000</v>
      </c>
      <c r="H36" s="15">
        <v>1600</v>
      </c>
      <c r="I36" s="20">
        <f t="shared" si="5"/>
        <v>0.75471698113207553</v>
      </c>
      <c r="J36" s="15">
        <v>17469</v>
      </c>
      <c r="K36" s="15">
        <f>G36-0</f>
        <v>212000</v>
      </c>
      <c r="L36" s="15">
        <v>17469</v>
      </c>
      <c r="M36" s="30">
        <v>0</v>
      </c>
      <c r="N36" s="34">
        <v>0</v>
      </c>
      <c r="O36" s="39">
        <v>1.75</v>
      </c>
      <c r="P36" s="39">
        <v>0.23</v>
      </c>
      <c r="Q36" s="15" t="e">
        <f t="shared" si="6"/>
        <v>#DIV/0!</v>
      </c>
      <c r="R36" s="15">
        <f t="shared" si="7"/>
        <v>121142.85714285714</v>
      </c>
      <c r="S36" s="44">
        <f t="shared" si="8"/>
        <v>2.7810573265118719</v>
      </c>
      <c r="T36" s="39">
        <v>0</v>
      </c>
      <c r="U36" s="5" t="s">
        <v>48</v>
      </c>
      <c r="V36" t="s">
        <v>173</v>
      </c>
      <c r="W36" t="s">
        <v>172</v>
      </c>
      <c r="X36" t="s">
        <v>51</v>
      </c>
      <c r="Y36">
        <v>0</v>
      </c>
      <c r="Z36">
        <v>0</v>
      </c>
      <c r="AA36" s="6">
        <v>42868</v>
      </c>
      <c r="AC36" s="7" t="s">
        <v>52</v>
      </c>
    </row>
    <row r="37" spans="1:30">
      <c r="A37" t="s">
        <v>268</v>
      </c>
      <c r="C37" s="25">
        <v>45512</v>
      </c>
      <c r="D37" s="15">
        <v>214900</v>
      </c>
      <c r="E37" t="s">
        <v>46</v>
      </c>
      <c r="F37" t="s">
        <v>56</v>
      </c>
      <c r="G37" s="15">
        <v>214900</v>
      </c>
      <c r="H37" s="15">
        <v>105500</v>
      </c>
      <c r="I37" s="20">
        <f t="shared" si="5"/>
        <v>49.092601209865059</v>
      </c>
      <c r="J37" s="15">
        <v>212397</v>
      </c>
      <c r="K37" s="15">
        <f>G37-167461</f>
        <v>47439</v>
      </c>
      <c r="L37" s="15">
        <v>44936</v>
      </c>
      <c r="M37" s="30">
        <v>0</v>
      </c>
      <c r="N37" s="34">
        <v>0</v>
      </c>
      <c r="O37" s="39">
        <v>7.3</v>
      </c>
      <c r="P37" s="39">
        <v>7.3</v>
      </c>
      <c r="Q37" s="15" t="e">
        <f t="shared" si="6"/>
        <v>#DIV/0!</v>
      </c>
      <c r="R37" s="15">
        <f t="shared" si="7"/>
        <v>6498.4931506849316</v>
      </c>
      <c r="S37" s="44">
        <f t="shared" si="8"/>
        <v>0.14918487490093965</v>
      </c>
      <c r="T37" s="39">
        <v>0</v>
      </c>
      <c r="U37" s="5" t="s">
        <v>48</v>
      </c>
      <c r="V37" t="s">
        <v>269</v>
      </c>
      <c r="X37" t="s">
        <v>51</v>
      </c>
      <c r="Y37">
        <v>0</v>
      </c>
      <c r="Z37">
        <v>1</v>
      </c>
      <c r="AA37" s="6">
        <v>43063</v>
      </c>
      <c r="AC37" s="7" t="s">
        <v>93</v>
      </c>
    </row>
    <row r="38" spans="1:30">
      <c r="A38" t="s">
        <v>97</v>
      </c>
      <c r="B38" t="s">
        <v>98</v>
      </c>
      <c r="C38" s="25">
        <v>45260</v>
      </c>
      <c r="D38" s="15">
        <v>219900</v>
      </c>
      <c r="E38" t="s">
        <v>46</v>
      </c>
      <c r="F38" t="s">
        <v>56</v>
      </c>
      <c r="G38" s="15">
        <v>219900</v>
      </c>
      <c r="H38" s="15">
        <v>86100</v>
      </c>
      <c r="I38" s="20">
        <f t="shared" si="5"/>
        <v>39.154160982264663</v>
      </c>
      <c r="J38" s="15">
        <v>200634</v>
      </c>
      <c r="K38" s="15">
        <f>G38-159634</f>
        <v>60266</v>
      </c>
      <c r="L38" s="15">
        <v>41000</v>
      </c>
      <c r="M38" s="30">
        <v>0</v>
      </c>
      <c r="N38" s="34">
        <v>0</v>
      </c>
      <c r="O38" s="39">
        <v>5</v>
      </c>
      <c r="P38" s="39">
        <v>5</v>
      </c>
      <c r="Q38" s="15" t="e">
        <f t="shared" si="6"/>
        <v>#DIV/0!</v>
      </c>
      <c r="R38" s="15">
        <f t="shared" si="7"/>
        <v>12053.2</v>
      </c>
      <c r="S38" s="44">
        <f t="shared" si="8"/>
        <v>0.27670339761248852</v>
      </c>
      <c r="T38" s="39">
        <v>0</v>
      </c>
      <c r="U38" s="5" t="s">
        <v>48</v>
      </c>
      <c r="V38" t="s">
        <v>99</v>
      </c>
      <c r="X38" t="s">
        <v>51</v>
      </c>
      <c r="Y38">
        <v>1</v>
      </c>
      <c r="Z38">
        <v>0</v>
      </c>
      <c r="AA38" s="6">
        <v>41865</v>
      </c>
      <c r="AC38" s="7" t="s">
        <v>58</v>
      </c>
    </row>
    <row r="39" spans="1:30">
      <c r="A39" t="s">
        <v>166</v>
      </c>
      <c r="B39" t="s">
        <v>167</v>
      </c>
      <c r="C39" s="25">
        <v>45323</v>
      </c>
      <c r="D39" s="15">
        <v>228000</v>
      </c>
      <c r="E39" t="s">
        <v>46</v>
      </c>
      <c r="F39" t="s">
        <v>56</v>
      </c>
      <c r="G39" s="15">
        <v>228000</v>
      </c>
      <c r="H39" s="15">
        <v>58200</v>
      </c>
      <c r="I39" s="20">
        <f t="shared" si="5"/>
        <v>25.526315789473685</v>
      </c>
      <c r="J39" s="15">
        <v>205755</v>
      </c>
      <c r="K39" s="15">
        <f>G39-176519</f>
        <v>51481</v>
      </c>
      <c r="L39" s="15">
        <v>29236</v>
      </c>
      <c r="M39" s="30">
        <v>0</v>
      </c>
      <c r="N39" s="34">
        <v>0</v>
      </c>
      <c r="O39" s="39">
        <v>2.39</v>
      </c>
      <c r="P39" s="39">
        <v>2.5099999999999998</v>
      </c>
      <c r="Q39" s="15" t="e">
        <f t="shared" si="6"/>
        <v>#DIV/0!</v>
      </c>
      <c r="R39" s="15">
        <f t="shared" si="7"/>
        <v>21540.167364016736</v>
      </c>
      <c r="S39" s="44">
        <f t="shared" si="8"/>
        <v>0.49449420027586627</v>
      </c>
      <c r="T39" s="39">
        <v>164.35</v>
      </c>
      <c r="U39" s="5" t="s">
        <v>48</v>
      </c>
      <c r="V39" t="s">
        <v>168</v>
      </c>
      <c r="X39" t="s">
        <v>51</v>
      </c>
      <c r="Y39">
        <v>0</v>
      </c>
      <c r="Z39">
        <v>1</v>
      </c>
      <c r="AA39" s="6">
        <v>45539</v>
      </c>
      <c r="AC39" s="7" t="s">
        <v>58</v>
      </c>
      <c r="AD39" t="s">
        <v>79</v>
      </c>
    </row>
    <row r="40" spans="1:30">
      <c r="A40" t="s">
        <v>188</v>
      </c>
      <c r="B40" t="s">
        <v>189</v>
      </c>
      <c r="C40" s="25">
        <v>45735</v>
      </c>
      <c r="D40" s="15">
        <v>235000</v>
      </c>
      <c r="E40" t="s">
        <v>59</v>
      </c>
      <c r="F40" t="s">
        <v>56</v>
      </c>
      <c r="G40" s="15">
        <v>235000</v>
      </c>
      <c r="H40" s="15">
        <v>90900</v>
      </c>
      <c r="I40" s="20">
        <f t="shared" si="5"/>
        <v>38.680851063829785</v>
      </c>
      <c r="J40" s="15">
        <v>193560</v>
      </c>
      <c r="K40" s="15">
        <f>G40-156312</f>
        <v>78688</v>
      </c>
      <c r="L40" s="15">
        <v>37248</v>
      </c>
      <c r="M40" s="30">
        <v>0</v>
      </c>
      <c r="N40" s="34">
        <v>0</v>
      </c>
      <c r="O40" s="39">
        <v>5.05</v>
      </c>
      <c r="P40" s="39">
        <v>5.05</v>
      </c>
      <c r="Q40" s="15" t="e">
        <f t="shared" si="6"/>
        <v>#DIV/0!</v>
      </c>
      <c r="R40" s="15">
        <f t="shared" si="7"/>
        <v>15581.782178217822</v>
      </c>
      <c r="S40" s="44">
        <f t="shared" si="8"/>
        <v>0.35770849812253952</v>
      </c>
      <c r="T40" s="39">
        <v>0</v>
      </c>
      <c r="U40" s="5" t="s">
        <v>48</v>
      </c>
      <c r="V40" t="s">
        <v>190</v>
      </c>
      <c r="X40" t="s">
        <v>51</v>
      </c>
      <c r="Y40">
        <v>0</v>
      </c>
      <c r="Z40">
        <v>1</v>
      </c>
      <c r="AA40" s="6">
        <v>42943</v>
      </c>
      <c r="AC40" s="7" t="s">
        <v>58</v>
      </c>
    </row>
    <row r="41" spans="1:30">
      <c r="A41" t="s">
        <v>236</v>
      </c>
      <c r="B41" t="s">
        <v>237</v>
      </c>
      <c r="C41" s="25">
        <v>45197</v>
      </c>
      <c r="D41" s="15">
        <v>239000</v>
      </c>
      <c r="E41" t="s">
        <v>46</v>
      </c>
      <c r="F41" t="s">
        <v>47</v>
      </c>
      <c r="G41" s="15">
        <v>239000</v>
      </c>
      <c r="H41" s="15">
        <v>76600</v>
      </c>
      <c r="I41" s="20">
        <f t="shared" si="5"/>
        <v>32.05020920502092</v>
      </c>
      <c r="J41" s="15">
        <v>153132</v>
      </c>
      <c r="K41" s="15">
        <f>G41-75358</f>
        <v>163642</v>
      </c>
      <c r="L41" s="15">
        <v>77774</v>
      </c>
      <c r="M41" s="30">
        <v>0</v>
      </c>
      <c r="N41" s="34">
        <v>0</v>
      </c>
      <c r="O41" s="39">
        <v>12.93</v>
      </c>
      <c r="P41" s="39">
        <v>7.63</v>
      </c>
      <c r="Q41" s="15" t="e">
        <f t="shared" si="6"/>
        <v>#DIV/0!</v>
      </c>
      <c r="R41" s="15">
        <f t="shared" si="7"/>
        <v>12655.99381283836</v>
      </c>
      <c r="S41" s="44">
        <f t="shared" si="8"/>
        <v>0.2905416394131855</v>
      </c>
      <c r="T41" s="39">
        <v>0</v>
      </c>
      <c r="U41" s="5" t="s">
        <v>48</v>
      </c>
      <c r="V41" t="s">
        <v>238</v>
      </c>
      <c r="W41" t="s">
        <v>239</v>
      </c>
      <c r="X41" t="s">
        <v>51</v>
      </c>
      <c r="Y41">
        <v>1</v>
      </c>
      <c r="Z41">
        <v>0</v>
      </c>
      <c r="AA41" s="6">
        <v>43040</v>
      </c>
      <c r="AC41" s="7" t="s">
        <v>58</v>
      </c>
    </row>
    <row r="42" spans="1:30">
      <c r="A42" t="s">
        <v>160</v>
      </c>
      <c r="B42" t="s">
        <v>161</v>
      </c>
      <c r="C42" s="25">
        <v>45057</v>
      </c>
      <c r="D42" s="15">
        <v>240000</v>
      </c>
      <c r="E42" t="s">
        <v>46</v>
      </c>
      <c r="F42" t="s">
        <v>56</v>
      </c>
      <c r="G42" s="15">
        <v>240000</v>
      </c>
      <c r="H42" s="15">
        <v>48800</v>
      </c>
      <c r="I42" s="20">
        <f t="shared" si="5"/>
        <v>20.333333333333332</v>
      </c>
      <c r="J42" s="15">
        <v>149096</v>
      </c>
      <c r="K42" s="15">
        <f>G42-135301</f>
        <v>104699</v>
      </c>
      <c r="L42" s="15">
        <v>13795</v>
      </c>
      <c r="M42" s="30">
        <v>0</v>
      </c>
      <c r="N42" s="34">
        <v>0</v>
      </c>
      <c r="O42" s="39">
        <v>1.25</v>
      </c>
      <c r="P42" s="39">
        <v>1.25</v>
      </c>
      <c r="Q42" s="15" t="e">
        <f t="shared" si="6"/>
        <v>#DIV/0!</v>
      </c>
      <c r="R42" s="15">
        <f t="shared" si="7"/>
        <v>83759.199999999997</v>
      </c>
      <c r="S42" s="44">
        <f t="shared" si="8"/>
        <v>1.9228466483011937</v>
      </c>
      <c r="T42" s="39">
        <v>0</v>
      </c>
      <c r="U42" s="5" t="s">
        <v>48</v>
      </c>
      <c r="V42" t="s">
        <v>162</v>
      </c>
      <c r="X42" t="s">
        <v>51</v>
      </c>
      <c r="Y42">
        <v>0</v>
      </c>
      <c r="Z42">
        <v>1</v>
      </c>
      <c r="AA42" s="6">
        <v>42573</v>
      </c>
      <c r="AC42" s="7" t="s">
        <v>58</v>
      </c>
    </row>
    <row r="43" spans="1:30">
      <c r="A43" t="s">
        <v>169</v>
      </c>
      <c r="B43" t="s">
        <v>170</v>
      </c>
      <c r="C43" s="25">
        <v>45224</v>
      </c>
      <c r="D43" s="15">
        <v>240000</v>
      </c>
      <c r="E43" t="s">
        <v>46</v>
      </c>
      <c r="F43" t="s">
        <v>56</v>
      </c>
      <c r="G43" s="15">
        <v>240000</v>
      </c>
      <c r="H43" s="15">
        <v>103800</v>
      </c>
      <c r="I43" s="20">
        <f t="shared" si="5"/>
        <v>43.25</v>
      </c>
      <c r="J43" s="15">
        <v>257931</v>
      </c>
      <c r="K43" s="15">
        <f>G43-217631</f>
        <v>22369</v>
      </c>
      <c r="L43" s="15">
        <v>40300</v>
      </c>
      <c r="M43" s="30">
        <v>0</v>
      </c>
      <c r="N43" s="34">
        <v>0</v>
      </c>
      <c r="O43" s="39">
        <v>5</v>
      </c>
      <c r="P43" s="39">
        <v>5</v>
      </c>
      <c r="Q43" s="15" t="e">
        <f t="shared" si="6"/>
        <v>#DIV/0!</v>
      </c>
      <c r="R43" s="15">
        <f t="shared" si="7"/>
        <v>4473.8</v>
      </c>
      <c r="S43" s="44">
        <f t="shared" si="8"/>
        <v>0.10270431588613407</v>
      </c>
      <c r="T43" s="39">
        <v>0</v>
      </c>
      <c r="U43" s="5" t="s">
        <v>48</v>
      </c>
      <c r="V43" t="s">
        <v>171</v>
      </c>
      <c r="X43" t="s">
        <v>51</v>
      </c>
      <c r="Y43">
        <v>0</v>
      </c>
      <c r="Z43">
        <v>1</v>
      </c>
      <c r="AA43" s="6">
        <v>42911</v>
      </c>
      <c r="AC43" s="7" t="s">
        <v>58</v>
      </c>
    </row>
    <row r="44" spans="1:30">
      <c r="A44" t="s">
        <v>210</v>
      </c>
      <c r="B44" t="s">
        <v>211</v>
      </c>
      <c r="C44" s="25">
        <v>45219</v>
      </c>
      <c r="D44" s="15">
        <v>242000</v>
      </c>
      <c r="E44" t="s">
        <v>46</v>
      </c>
      <c r="F44" t="s">
        <v>56</v>
      </c>
      <c r="G44" s="15">
        <v>242000</v>
      </c>
      <c r="H44" s="15">
        <v>92400</v>
      </c>
      <c r="I44" s="20">
        <f t="shared" si="5"/>
        <v>38.181818181818187</v>
      </c>
      <c r="J44" s="15">
        <v>240603</v>
      </c>
      <c r="K44" s="15">
        <f>G44-186453</f>
        <v>55547</v>
      </c>
      <c r="L44" s="15">
        <v>54150</v>
      </c>
      <c r="M44" s="30">
        <v>0</v>
      </c>
      <c r="N44" s="34">
        <v>0</v>
      </c>
      <c r="O44" s="39">
        <v>10</v>
      </c>
      <c r="P44" s="39">
        <v>10</v>
      </c>
      <c r="Q44" s="15" t="e">
        <f t="shared" si="6"/>
        <v>#DIV/0!</v>
      </c>
      <c r="R44" s="15">
        <f t="shared" si="7"/>
        <v>5554.7</v>
      </c>
      <c r="S44" s="44">
        <f t="shared" si="8"/>
        <v>0.12751836547291093</v>
      </c>
      <c r="T44" s="39">
        <v>0</v>
      </c>
      <c r="U44" s="5" t="s">
        <v>48</v>
      </c>
      <c r="V44" t="s">
        <v>212</v>
      </c>
      <c r="X44" t="s">
        <v>51</v>
      </c>
      <c r="Y44">
        <v>1</v>
      </c>
      <c r="Z44">
        <v>0</v>
      </c>
      <c r="AA44" s="6">
        <v>43027</v>
      </c>
      <c r="AC44" s="7" t="s">
        <v>58</v>
      </c>
    </row>
    <row r="45" spans="1:30">
      <c r="A45" t="s">
        <v>100</v>
      </c>
      <c r="B45" t="s">
        <v>101</v>
      </c>
      <c r="C45" s="25">
        <v>45502</v>
      </c>
      <c r="D45" s="15">
        <v>243000</v>
      </c>
      <c r="E45" t="s">
        <v>46</v>
      </c>
      <c r="F45" t="s">
        <v>56</v>
      </c>
      <c r="G45" s="15">
        <v>243000</v>
      </c>
      <c r="H45" s="15">
        <v>71400</v>
      </c>
      <c r="I45" s="20">
        <f t="shared" si="5"/>
        <v>29.382716049382719</v>
      </c>
      <c r="J45" s="15">
        <v>153140</v>
      </c>
      <c r="K45" s="15">
        <f>G45-129415</f>
        <v>113585</v>
      </c>
      <c r="L45" s="15">
        <v>23725</v>
      </c>
      <c r="M45" s="30">
        <v>0</v>
      </c>
      <c r="N45" s="34">
        <v>0</v>
      </c>
      <c r="O45" s="39">
        <v>2.4700000000000002</v>
      </c>
      <c r="P45" s="39">
        <v>2.4700000000000002</v>
      </c>
      <c r="Q45" s="15" t="e">
        <f t="shared" si="6"/>
        <v>#DIV/0!</v>
      </c>
      <c r="R45" s="15">
        <f t="shared" si="7"/>
        <v>45985.829959514165</v>
      </c>
      <c r="S45" s="44">
        <f t="shared" si="8"/>
        <v>1.0556893930099671</v>
      </c>
      <c r="T45" s="39">
        <v>0</v>
      </c>
      <c r="U45" s="5" t="s">
        <v>48</v>
      </c>
      <c r="V45" t="s">
        <v>102</v>
      </c>
      <c r="X45" t="s">
        <v>51</v>
      </c>
      <c r="Y45">
        <v>0</v>
      </c>
      <c r="Z45">
        <v>1</v>
      </c>
      <c r="AA45" s="6">
        <v>41864</v>
      </c>
      <c r="AC45" s="7" t="s">
        <v>58</v>
      </c>
    </row>
    <row r="46" spans="1:30">
      <c r="A46" t="s">
        <v>233</v>
      </c>
      <c r="B46" t="s">
        <v>234</v>
      </c>
      <c r="C46" s="25">
        <v>45090</v>
      </c>
      <c r="D46" s="15">
        <v>245000</v>
      </c>
      <c r="E46" t="s">
        <v>46</v>
      </c>
      <c r="F46" t="s">
        <v>56</v>
      </c>
      <c r="G46" s="15">
        <v>245000</v>
      </c>
      <c r="H46" s="15">
        <v>105200</v>
      </c>
      <c r="I46" s="20">
        <f t="shared" si="5"/>
        <v>42.938775510204081</v>
      </c>
      <c r="J46" s="15">
        <v>239427</v>
      </c>
      <c r="K46" s="15">
        <f>G46-222487</f>
        <v>22513</v>
      </c>
      <c r="L46" s="15">
        <v>16940</v>
      </c>
      <c r="M46" s="30">
        <v>0</v>
      </c>
      <c r="N46" s="34">
        <v>0</v>
      </c>
      <c r="O46" s="39">
        <v>1.24</v>
      </c>
      <c r="P46" s="39">
        <v>1.38</v>
      </c>
      <c r="Q46" s="15" t="e">
        <f t="shared" si="6"/>
        <v>#DIV/0!</v>
      </c>
      <c r="R46" s="15">
        <f t="shared" si="7"/>
        <v>18155.645161290322</v>
      </c>
      <c r="S46" s="44">
        <f t="shared" si="8"/>
        <v>0.4167962617376107</v>
      </c>
      <c r="T46" s="39">
        <v>180</v>
      </c>
      <c r="U46" s="5" t="s">
        <v>48</v>
      </c>
      <c r="V46" t="s">
        <v>235</v>
      </c>
      <c r="X46" t="s">
        <v>51</v>
      </c>
      <c r="Y46">
        <v>1</v>
      </c>
      <c r="Z46">
        <v>0</v>
      </c>
      <c r="AA46" s="6">
        <v>43040</v>
      </c>
      <c r="AC46" s="7" t="s">
        <v>58</v>
      </c>
      <c r="AD46" t="s">
        <v>79</v>
      </c>
    </row>
    <row r="47" spans="1:30">
      <c r="A47" t="s">
        <v>264</v>
      </c>
      <c r="B47" t="s">
        <v>265</v>
      </c>
      <c r="C47" s="25">
        <v>45674</v>
      </c>
      <c r="D47" s="15">
        <v>249900</v>
      </c>
      <c r="E47" t="s">
        <v>46</v>
      </c>
      <c r="F47" t="s">
        <v>56</v>
      </c>
      <c r="G47" s="15">
        <v>249900</v>
      </c>
      <c r="H47" s="15">
        <v>69500</v>
      </c>
      <c r="I47" s="20">
        <f t="shared" si="5"/>
        <v>27.811124449779911</v>
      </c>
      <c r="J47" s="15">
        <v>192339</v>
      </c>
      <c r="K47" s="15">
        <f>G47-158967</f>
        <v>90933</v>
      </c>
      <c r="L47" s="15">
        <v>33372</v>
      </c>
      <c r="M47" s="30">
        <v>0</v>
      </c>
      <c r="N47" s="34">
        <v>0</v>
      </c>
      <c r="O47" s="39">
        <v>3.38</v>
      </c>
      <c r="P47" s="39">
        <v>3.38</v>
      </c>
      <c r="Q47" s="15" t="e">
        <f t="shared" si="6"/>
        <v>#DIV/0!</v>
      </c>
      <c r="R47" s="15">
        <f t="shared" si="7"/>
        <v>26903.254437869822</v>
      </c>
      <c r="S47" s="44">
        <f t="shared" si="8"/>
        <v>0.61761373824310883</v>
      </c>
      <c r="T47" s="39">
        <v>0</v>
      </c>
      <c r="U47" s="5" t="s">
        <v>48</v>
      </c>
      <c r="V47" t="s">
        <v>267</v>
      </c>
      <c r="X47" t="s">
        <v>51</v>
      </c>
      <c r="Y47">
        <v>0</v>
      </c>
      <c r="Z47">
        <v>1</v>
      </c>
      <c r="AA47" s="6">
        <v>43057</v>
      </c>
      <c r="AC47" s="7" t="s">
        <v>58</v>
      </c>
    </row>
    <row r="48" spans="1:30">
      <c r="A48" t="s">
        <v>94</v>
      </c>
      <c r="B48" t="s">
        <v>95</v>
      </c>
      <c r="C48" s="25">
        <v>45491</v>
      </c>
      <c r="D48" s="15">
        <v>250000</v>
      </c>
      <c r="E48" t="s">
        <v>46</v>
      </c>
      <c r="F48" t="s">
        <v>56</v>
      </c>
      <c r="G48" s="15">
        <v>250000</v>
      </c>
      <c r="H48" s="15">
        <v>61400</v>
      </c>
      <c r="I48" s="20">
        <f t="shared" si="5"/>
        <v>24.560000000000002</v>
      </c>
      <c r="J48" s="15">
        <v>169154</v>
      </c>
      <c r="K48" s="15">
        <f>G48-137714</f>
        <v>112286</v>
      </c>
      <c r="L48" s="15">
        <v>31440</v>
      </c>
      <c r="M48" s="30">
        <v>0</v>
      </c>
      <c r="N48" s="34">
        <v>0</v>
      </c>
      <c r="O48" s="39">
        <v>2.66</v>
      </c>
      <c r="P48" s="39">
        <v>2.91</v>
      </c>
      <c r="Q48" s="15" t="e">
        <f t="shared" si="6"/>
        <v>#DIV/0!</v>
      </c>
      <c r="R48" s="15">
        <f t="shared" si="7"/>
        <v>42212.781954887214</v>
      </c>
      <c r="S48" s="44">
        <f t="shared" si="8"/>
        <v>0.96907212935921061</v>
      </c>
      <c r="T48" s="39">
        <v>0</v>
      </c>
      <c r="U48" s="5" t="s">
        <v>48</v>
      </c>
      <c r="V48" t="s">
        <v>96</v>
      </c>
      <c r="X48" t="s">
        <v>51</v>
      </c>
      <c r="Y48">
        <v>1</v>
      </c>
      <c r="Z48">
        <v>0</v>
      </c>
      <c r="AA48" s="6">
        <v>41869</v>
      </c>
      <c r="AC48" s="7" t="s">
        <v>58</v>
      </c>
    </row>
    <row r="49" spans="1:30">
      <c r="A49" t="s">
        <v>129</v>
      </c>
      <c r="B49" t="s">
        <v>130</v>
      </c>
      <c r="C49" s="25">
        <v>45603</v>
      </c>
      <c r="D49" s="15">
        <v>252000</v>
      </c>
      <c r="E49" t="s">
        <v>46</v>
      </c>
      <c r="F49" t="s">
        <v>56</v>
      </c>
      <c r="G49" s="15">
        <v>252000</v>
      </c>
      <c r="H49" s="15">
        <v>57100</v>
      </c>
      <c r="I49" s="20">
        <f t="shared" si="5"/>
        <v>22.658730158730158</v>
      </c>
      <c r="J49" s="15">
        <v>164038</v>
      </c>
      <c r="K49" s="15">
        <f>G49-133510</f>
        <v>118490</v>
      </c>
      <c r="L49" s="15">
        <v>30528</v>
      </c>
      <c r="M49" s="30">
        <v>0</v>
      </c>
      <c r="N49" s="34">
        <v>0</v>
      </c>
      <c r="O49" s="39">
        <v>2.67</v>
      </c>
      <c r="P49" s="39">
        <v>2.67</v>
      </c>
      <c r="Q49" s="15" t="e">
        <f t="shared" si="6"/>
        <v>#DIV/0!</v>
      </c>
      <c r="R49" s="15">
        <f t="shared" si="7"/>
        <v>44378.277153558054</v>
      </c>
      <c r="S49" s="44">
        <f t="shared" si="8"/>
        <v>1.0187850586216265</v>
      </c>
      <c r="T49" s="39">
        <v>0</v>
      </c>
      <c r="U49" s="5" t="s">
        <v>48</v>
      </c>
      <c r="V49" t="s">
        <v>131</v>
      </c>
      <c r="X49" t="s">
        <v>51</v>
      </c>
      <c r="Y49">
        <v>0</v>
      </c>
      <c r="Z49">
        <v>0</v>
      </c>
      <c r="AA49" s="6">
        <v>42088</v>
      </c>
      <c r="AC49" s="7" t="s">
        <v>58</v>
      </c>
    </row>
    <row r="50" spans="1:30">
      <c r="A50" t="s">
        <v>141</v>
      </c>
      <c r="B50" t="s">
        <v>142</v>
      </c>
      <c r="C50" s="25">
        <v>45021</v>
      </c>
      <c r="D50" s="15">
        <v>255000</v>
      </c>
      <c r="E50" t="s">
        <v>46</v>
      </c>
      <c r="F50" t="s">
        <v>56</v>
      </c>
      <c r="G50" s="15">
        <v>255000</v>
      </c>
      <c r="H50" s="15">
        <v>108000</v>
      </c>
      <c r="I50" s="20">
        <f t="shared" si="5"/>
        <v>42.352941176470587</v>
      </c>
      <c r="J50" s="15">
        <v>249530</v>
      </c>
      <c r="K50" s="15">
        <f>G50-226795</f>
        <v>28205</v>
      </c>
      <c r="L50" s="15">
        <v>22735</v>
      </c>
      <c r="M50" s="30">
        <v>0</v>
      </c>
      <c r="N50" s="34">
        <v>0</v>
      </c>
      <c r="O50" s="39">
        <v>2.0099999999999998</v>
      </c>
      <c r="P50" s="39">
        <v>2.0099999999999998</v>
      </c>
      <c r="Q50" s="15" t="e">
        <f t="shared" si="6"/>
        <v>#DIV/0!</v>
      </c>
      <c r="R50" s="15">
        <f t="shared" si="7"/>
        <v>14032.338308457713</v>
      </c>
      <c r="S50" s="44">
        <f t="shared" si="8"/>
        <v>0.32213816135118717</v>
      </c>
      <c r="T50" s="39">
        <v>0</v>
      </c>
      <c r="U50" s="5" t="s">
        <v>48</v>
      </c>
      <c r="V50" t="s">
        <v>143</v>
      </c>
      <c r="X50" t="s">
        <v>51</v>
      </c>
      <c r="Y50">
        <v>0</v>
      </c>
      <c r="Z50">
        <v>1</v>
      </c>
      <c r="AA50" s="6">
        <v>42534</v>
      </c>
      <c r="AC50" s="7" t="s">
        <v>58</v>
      </c>
    </row>
    <row r="51" spans="1:30">
      <c r="A51" t="s">
        <v>154</v>
      </c>
      <c r="B51" t="s">
        <v>155</v>
      </c>
      <c r="C51" s="25">
        <v>45565</v>
      </c>
      <c r="D51" s="15">
        <v>267000</v>
      </c>
      <c r="E51" t="s">
        <v>46</v>
      </c>
      <c r="F51" t="s">
        <v>56</v>
      </c>
      <c r="G51" s="15">
        <v>267000</v>
      </c>
      <c r="H51" s="15">
        <v>131300</v>
      </c>
      <c r="I51" s="20">
        <f t="shared" si="5"/>
        <v>49.176029962546821</v>
      </c>
      <c r="J51" s="15">
        <v>268773</v>
      </c>
      <c r="K51" s="15">
        <f>G51-251113</f>
        <v>15887</v>
      </c>
      <c r="L51" s="15">
        <v>17660</v>
      </c>
      <c r="M51" s="30">
        <v>0</v>
      </c>
      <c r="N51" s="34">
        <v>0</v>
      </c>
      <c r="O51" s="39">
        <v>1.6</v>
      </c>
      <c r="P51" s="39">
        <v>1.6</v>
      </c>
      <c r="Q51" s="15" t="e">
        <f t="shared" si="6"/>
        <v>#DIV/0!</v>
      </c>
      <c r="R51" s="15">
        <f t="shared" si="7"/>
        <v>9929.375</v>
      </c>
      <c r="S51" s="44">
        <f t="shared" si="8"/>
        <v>0.2279470844811754</v>
      </c>
      <c r="T51" s="39">
        <v>0</v>
      </c>
      <c r="U51" s="5" t="s">
        <v>48</v>
      </c>
      <c r="V51" t="s">
        <v>156</v>
      </c>
      <c r="X51" t="s">
        <v>51</v>
      </c>
      <c r="Y51">
        <v>1</v>
      </c>
      <c r="Z51">
        <v>0</v>
      </c>
      <c r="AA51" s="6">
        <v>42573</v>
      </c>
      <c r="AC51" s="7" t="s">
        <v>58</v>
      </c>
    </row>
    <row r="52" spans="1:30">
      <c r="A52" t="s">
        <v>163</v>
      </c>
      <c r="B52" t="s">
        <v>164</v>
      </c>
      <c r="C52" s="25">
        <v>45628</v>
      </c>
      <c r="D52" s="15">
        <v>275000</v>
      </c>
      <c r="E52" t="s">
        <v>46</v>
      </c>
      <c r="F52" t="s">
        <v>56</v>
      </c>
      <c r="G52" s="15">
        <v>275000</v>
      </c>
      <c r="H52" s="15">
        <v>123100</v>
      </c>
      <c r="I52" s="20">
        <f t="shared" si="5"/>
        <v>44.763636363636358</v>
      </c>
      <c r="J52" s="15">
        <v>252045</v>
      </c>
      <c r="K52" s="15">
        <f>G52-212445</f>
        <v>62555</v>
      </c>
      <c r="L52" s="15">
        <v>39600</v>
      </c>
      <c r="M52" s="30">
        <v>0</v>
      </c>
      <c r="N52" s="34">
        <v>0</v>
      </c>
      <c r="O52" s="39">
        <v>5</v>
      </c>
      <c r="P52" s="39">
        <v>5</v>
      </c>
      <c r="Q52" s="15" t="e">
        <f t="shared" si="6"/>
        <v>#DIV/0!</v>
      </c>
      <c r="R52" s="15">
        <f t="shared" si="7"/>
        <v>12511</v>
      </c>
      <c r="S52" s="44">
        <f t="shared" si="8"/>
        <v>0.28721303948576676</v>
      </c>
      <c r="T52" s="39">
        <v>0</v>
      </c>
      <c r="U52" s="5" t="s">
        <v>48</v>
      </c>
      <c r="V52" t="s">
        <v>165</v>
      </c>
      <c r="X52" t="s">
        <v>51</v>
      </c>
      <c r="Y52">
        <v>0</v>
      </c>
      <c r="Z52">
        <v>0</v>
      </c>
      <c r="AA52" s="6">
        <v>42912</v>
      </c>
      <c r="AC52" s="7" t="s">
        <v>58</v>
      </c>
    </row>
    <row r="53" spans="1:30">
      <c r="A53" t="s">
        <v>213</v>
      </c>
      <c r="B53" t="s">
        <v>214</v>
      </c>
      <c r="C53" s="25">
        <v>45029</v>
      </c>
      <c r="D53" s="15">
        <v>287500</v>
      </c>
      <c r="E53" t="s">
        <v>46</v>
      </c>
      <c r="F53" t="s">
        <v>56</v>
      </c>
      <c r="G53" s="15">
        <v>287500</v>
      </c>
      <c r="H53" s="15">
        <v>114900</v>
      </c>
      <c r="I53" s="20">
        <f t="shared" si="5"/>
        <v>39.96521739130435</v>
      </c>
      <c r="J53" s="15">
        <v>270152</v>
      </c>
      <c r="K53" s="15">
        <f>G53-216852</f>
        <v>70648</v>
      </c>
      <c r="L53" s="15">
        <v>53300</v>
      </c>
      <c r="M53" s="30">
        <v>0</v>
      </c>
      <c r="N53" s="34">
        <v>0</v>
      </c>
      <c r="O53" s="39">
        <v>10</v>
      </c>
      <c r="P53" s="39">
        <v>10</v>
      </c>
      <c r="Q53" s="15" t="e">
        <f t="shared" si="6"/>
        <v>#DIV/0!</v>
      </c>
      <c r="R53" s="15">
        <f t="shared" si="7"/>
        <v>7064.8</v>
      </c>
      <c r="S53" s="44">
        <f t="shared" si="8"/>
        <v>0.16218549127640036</v>
      </c>
      <c r="T53" s="39">
        <v>0</v>
      </c>
      <c r="U53" s="5" t="s">
        <v>48</v>
      </c>
      <c r="V53" t="s">
        <v>215</v>
      </c>
      <c r="X53" t="s">
        <v>51</v>
      </c>
      <c r="Y53">
        <v>0</v>
      </c>
      <c r="Z53">
        <v>1</v>
      </c>
      <c r="AA53" s="6">
        <v>43027</v>
      </c>
      <c r="AC53" s="7" t="s">
        <v>58</v>
      </c>
    </row>
    <row r="54" spans="1:30">
      <c r="A54" t="s">
        <v>191</v>
      </c>
      <c r="B54" t="s">
        <v>192</v>
      </c>
      <c r="C54" s="25">
        <v>45526</v>
      </c>
      <c r="D54" s="15">
        <v>301000</v>
      </c>
      <c r="E54" t="s">
        <v>46</v>
      </c>
      <c r="F54" t="s">
        <v>47</v>
      </c>
      <c r="G54" s="15">
        <v>301000</v>
      </c>
      <c r="H54" s="15">
        <v>133000</v>
      </c>
      <c r="I54" s="20">
        <f t="shared" si="5"/>
        <v>44.186046511627907</v>
      </c>
      <c r="J54" s="15">
        <v>263001</v>
      </c>
      <c r="K54" s="15">
        <f>G54-211722</f>
        <v>89278</v>
      </c>
      <c r="L54" s="15">
        <v>51279</v>
      </c>
      <c r="M54" s="30">
        <v>0</v>
      </c>
      <c r="N54" s="34">
        <v>0</v>
      </c>
      <c r="O54" s="39">
        <v>5.81</v>
      </c>
      <c r="P54" s="39">
        <v>3.25</v>
      </c>
      <c r="Q54" s="15" t="e">
        <f t="shared" si="6"/>
        <v>#DIV/0!</v>
      </c>
      <c r="R54" s="15">
        <f t="shared" si="7"/>
        <v>15366.265060240965</v>
      </c>
      <c r="S54" s="44">
        <f t="shared" si="8"/>
        <v>0.3527609058824831</v>
      </c>
      <c r="T54" s="39">
        <v>0</v>
      </c>
      <c r="U54" s="5" t="s">
        <v>48</v>
      </c>
      <c r="V54" t="s">
        <v>193</v>
      </c>
      <c r="W54" t="s">
        <v>194</v>
      </c>
      <c r="X54" t="s">
        <v>51</v>
      </c>
      <c r="Y54">
        <v>0</v>
      </c>
      <c r="Z54">
        <v>1</v>
      </c>
      <c r="AA54" s="6">
        <v>42964</v>
      </c>
      <c r="AC54" s="7" t="s">
        <v>58</v>
      </c>
    </row>
    <row r="55" spans="1:30">
      <c r="A55" t="s">
        <v>138</v>
      </c>
      <c r="B55" t="s">
        <v>139</v>
      </c>
      <c r="C55" s="25">
        <v>45429</v>
      </c>
      <c r="D55" s="15">
        <v>305000</v>
      </c>
      <c r="E55" t="s">
        <v>55</v>
      </c>
      <c r="F55" t="s">
        <v>56</v>
      </c>
      <c r="G55" s="15">
        <v>305000</v>
      </c>
      <c r="H55" s="15">
        <v>137600</v>
      </c>
      <c r="I55" s="20">
        <f t="shared" si="5"/>
        <v>45.114754098360656</v>
      </c>
      <c r="J55" s="15">
        <v>286574</v>
      </c>
      <c r="K55" s="15">
        <f>G55-263894</f>
        <v>41106</v>
      </c>
      <c r="L55" s="15">
        <v>22680</v>
      </c>
      <c r="M55" s="30">
        <v>0</v>
      </c>
      <c r="N55" s="34">
        <v>0</v>
      </c>
      <c r="O55" s="39">
        <v>1.88</v>
      </c>
      <c r="P55" s="39">
        <v>2</v>
      </c>
      <c r="Q55" s="15" t="e">
        <f t="shared" si="6"/>
        <v>#DIV/0!</v>
      </c>
      <c r="R55" s="15">
        <f t="shared" si="7"/>
        <v>21864.893617021276</v>
      </c>
      <c r="S55" s="44">
        <f t="shared" si="8"/>
        <v>0.50194888927964365</v>
      </c>
      <c r="T55" s="39">
        <v>165</v>
      </c>
      <c r="U55" s="5" t="s">
        <v>48</v>
      </c>
      <c r="V55" t="s">
        <v>140</v>
      </c>
      <c r="X55" t="s">
        <v>51</v>
      </c>
      <c r="Y55">
        <v>0</v>
      </c>
      <c r="Z55">
        <v>1</v>
      </c>
      <c r="AA55" s="6">
        <v>42534</v>
      </c>
      <c r="AC55" s="7" t="s">
        <v>58</v>
      </c>
      <c r="AD55" t="s">
        <v>79</v>
      </c>
    </row>
    <row r="56" spans="1:30">
      <c r="A56" t="s">
        <v>179</v>
      </c>
      <c r="B56" t="s">
        <v>180</v>
      </c>
      <c r="C56" s="25">
        <v>45471</v>
      </c>
      <c r="D56" s="15">
        <v>310000</v>
      </c>
      <c r="E56" t="s">
        <v>46</v>
      </c>
      <c r="F56" t="s">
        <v>56</v>
      </c>
      <c r="G56" s="15">
        <v>310000</v>
      </c>
      <c r="H56" s="15">
        <v>101200</v>
      </c>
      <c r="I56" s="20">
        <f t="shared" si="5"/>
        <v>32.645161290322584</v>
      </c>
      <c r="J56" s="15">
        <v>208309</v>
      </c>
      <c r="K56" s="15">
        <f>G56-131389</f>
        <v>178611</v>
      </c>
      <c r="L56" s="15">
        <v>76920</v>
      </c>
      <c r="M56" s="30">
        <v>0</v>
      </c>
      <c r="N56" s="34">
        <v>0</v>
      </c>
      <c r="O56" s="39">
        <v>19.36</v>
      </c>
      <c r="P56" s="39">
        <v>19.36</v>
      </c>
      <c r="Q56" s="15" t="e">
        <f t="shared" si="6"/>
        <v>#DIV/0!</v>
      </c>
      <c r="R56" s="15">
        <f t="shared" si="7"/>
        <v>9225.7747933884293</v>
      </c>
      <c r="S56" s="44">
        <f t="shared" si="8"/>
        <v>0.21179464631286568</v>
      </c>
      <c r="T56" s="39">
        <v>0</v>
      </c>
      <c r="U56" s="5" t="s">
        <v>48</v>
      </c>
      <c r="V56" t="s">
        <v>181</v>
      </c>
      <c r="X56" t="s">
        <v>51</v>
      </c>
      <c r="Y56">
        <v>0</v>
      </c>
      <c r="Z56">
        <v>1</v>
      </c>
      <c r="AA56" s="6">
        <v>42909</v>
      </c>
      <c r="AC56" s="7" t="s">
        <v>58</v>
      </c>
    </row>
    <row r="57" spans="1:30">
      <c r="A57" t="s">
        <v>219</v>
      </c>
      <c r="B57" t="s">
        <v>220</v>
      </c>
      <c r="C57" s="25">
        <v>45566</v>
      </c>
      <c r="D57" s="15">
        <v>312000</v>
      </c>
      <c r="E57" t="s">
        <v>46</v>
      </c>
      <c r="F57" t="s">
        <v>56</v>
      </c>
      <c r="G57" s="15">
        <v>312000</v>
      </c>
      <c r="H57" s="15">
        <v>127000</v>
      </c>
      <c r="I57" s="20">
        <f t="shared" si="5"/>
        <v>40.705128205128204</v>
      </c>
      <c r="J57" s="15">
        <v>261400</v>
      </c>
      <c r="K57" s="15">
        <f>G57-237128</f>
        <v>74872</v>
      </c>
      <c r="L57" s="15">
        <v>24272</v>
      </c>
      <c r="M57" s="30">
        <v>0</v>
      </c>
      <c r="N57" s="34">
        <v>0</v>
      </c>
      <c r="O57" s="39">
        <v>2.17</v>
      </c>
      <c r="P57" s="39">
        <v>2.17</v>
      </c>
      <c r="Q57" s="15" t="e">
        <f t="shared" si="6"/>
        <v>#DIV/0!</v>
      </c>
      <c r="R57" s="15">
        <f t="shared" si="7"/>
        <v>34503.225806451614</v>
      </c>
      <c r="S57" s="44">
        <f t="shared" si="8"/>
        <v>0.79208507361000036</v>
      </c>
      <c r="T57" s="39">
        <v>0</v>
      </c>
      <c r="U57" s="5" t="s">
        <v>48</v>
      </c>
      <c r="V57" t="s">
        <v>221</v>
      </c>
      <c r="X57" t="s">
        <v>51</v>
      </c>
      <c r="Y57">
        <v>0</v>
      </c>
      <c r="Z57">
        <v>1</v>
      </c>
      <c r="AA57" s="6">
        <v>43027</v>
      </c>
      <c r="AC57" s="7" t="s">
        <v>58</v>
      </c>
    </row>
    <row r="58" spans="1:30">
      <c r="A58" t="s">
        <v>227</v>
      </c>
      <c r="B58" t="s">
        <v>228</v>
      </c>
      <c r="C58" s="25">
        <v>45363</v>
      </c>
      <c r="D58" s="15">
        <v>315000</v>
      </c>
      <c r="E58" t="s">
        <v>46</v>
      </c>
      <c r="F58" t="s">
        <v>56</v>
      </c>
      <c r="G58" s="15">
        <v>315000</v>
      </c>
      <c r="H58" s="15">
        <v>129600</v>
      </c>
      <c r="I58" s="20">
        <f t="shared" si="5"/>
        <v>41.142857142857139</v>
      </c>
      <c r="J58" s="15">
        <v>298107</v>
      </c>
      <c r="K58" s="15">
        <f>G58-243753</f>
        <v>71247</v>
      </c>
      <c r="L58" s="15">
        <v>54354</v>
      </c>
      <c r="M58" s="30">
        <v>0</v>
      </c>
      <c r="N58" s="34">
        <v>0</v>
      </c>
      <c r="O58" s="39">
        <v>10.06</v>
      </c>
      <c r="P58" s="39">
        <v>10.06</v>
      </c>
      <c r="Q58" s="15" t="e">
        <f t="shared" si="6"/>
        <v>#DIV/0!</v>
      </c>
      <c r="R58" s="15">
        <f t="shared" si="7"/>
        <v>7082.2067594433393</v>
      </c>
      <c r="S58" s="44">
        <f t="shared" si="8"/>
        <v>0.16258509548767996</v>
      </c>
      <c r="T58" s="39">
        <v>0</v>
      </c>
      <c r="U58" s="5" t="s">
        <v>48</v>
      </c>
      <c r="V58" t="s">
        <v>229</v>
      </c>
      <c r="X58" t="s">
        <v>51</v>
      </c>
      <c r="Y58">
        <v>0</v>
      </c>
      <c r="Z58">
        <v>1</v>
      </c>
      <c r="AA58" s="6">
        <v>43036</v>
      </c>
      <c r="AC58" s="7" t="s">
        <v>58</v>
      </c>
    </row>
    <row r="59" spans="1:30">
      <c r="A59" t="s">
        <v>122</v>
      </c>
      <c r="B59" t="s">
        <v>123</v>
      </c>
      <c r="C59" s="25">
        <v>45210</v>
      </c>
      <c r="D59" s="15">
        <v>319800</v>
      </c>
      <c r="E59" t="s">
        <v>46</v>
      </c>
      <c r="F59" t="s">
        <v>47</v>
      </c>
      <c r="G59" s="15">
        <v>319800</v>
      </c>
      <c r="H59" s="15">
        <v>129400</v>
      </c>
      <c r="I59" s="20">
        <f t="shared" si="5"/>
        <v>40.462789243277051</v>
      </c>
      <c r="J59" s="15">
        <v>258751</v>
      </c>
      <c r="K59" s="15">
        <f>G59-0</f>
        <v>319800</v>
      </c>
      <c r="L59" s="15">
        <v>258751</v>
      </c>
      <c r="M59" s="30">
        <v>0</v>
      </c>
      <c r="N59" s="34">
        <v>0</v>
      </c>
      <c r="O59" s="39">
        <v>75.66</v>
      </c>
      <c r="P59" s="39">
        <v>35.729999999999997</v>
      </c>
      <c r="Q59" s="15" t="e">
        <f t="shared" si="6"/>
        <v>#DIV/0!</v>
      </c>
      <c r="R59" s="15">
        <f t="shared" si="7"/>
        <v>4226.8041237113403</v>
      </c>
      <c r="S59" s="44">
        <f t="shared" si="8"/>
        <v>9.703407079227136E-2</v>
      </c>
      <c r="T59" s="39">
        <v>0</v>
      </c>
      <c r="U59" s="5" t="s">
        <v>48</v>
      </c>
      <c r="V59" t="s">
        <v>124</v>
      </c>
      <c r="W59" t="s">
        <v>125</v>
      </c>
      <c r="X59" t="s">
        <v>51</v>
      </c>
      <c r="Y59">
        <v>0</v>
      </c>
      <c r="Z59">
        <v>1</v>
      </c>
      <c r="AA59" s="6">
        <v>42107</v>
      </c>
      <c r="AC59" s="7" t="s">
        <v>52</v>
      </c>
    </row>
    <row r="60" spans="1:30">
      <c r="A60" t="s">
        <v>182</v>
      </c>
      <c r="B60" t="s">
        <v>183</v>
      </c>
      <c r="C60" s="25">
        <v>45047</v>
      </c>
      <c r="D60" s="15">
        <v>320000</v>
      </c>
      <c r="E60" t="s">
        <v>46</v>
      </c>
      <c r="F60" t="s">
        <v>56</v>
      </c>
      <c r="G60" s="15">
        <v>320000</v>
      </c>
      <c r="H60" s="15">
        <v>135700</v>
      </c>
      <c r="I60" s="20">
        <f t="shared" si="5"/>
        <v>42.40625</v>
      </c>
      <c r="J60" s="15">
        <v>314234</v>
      </c>
      <c r="K60" s="15">
        <f>G60-259116</f>
        <v>60884</v>
      </c>
      <c r="L60" s="15">
        <v>55118</v>
      </c>
      <c r="M60" s="30">
        <v>0</v>
      </c>
      <c r="N60" s="34">
        <v>0</v>
      </c>
      <c r="O60" s="39">
        <v>10.06</v>
      </c>
      <c r="P60" s="39">
        <v>10.31</v>
      </c>
      <c r="Q60" s="15" t="e">
        <f t="shared" si="6"/>
        <v>#DIV/0!</v>
      </c>
      <c r="R60" s="15">
        <f t="shared" si="7"/>
        <v>6052.0874751491046</v>
      </c>
      <c r="S60" s="44">
        <f t="shared" si="8"/>
        <v>0.13893681072426778</v>
      </c>
      <c r="T60" s="39">
        <v>335</v>
      </c>
      <c r="U60" s="5" t="s">
        <v>48</v>
      </c>
      <c r="V60" t="s">
        <v>184</v>
      </c>
      <c r="X60" t="s">
        <v>51</v>
      </c>
      <c r="Y60">
        <v>0</v>
      </c>
      <c r="Z60">
        <v>1</v>
      </c>
      <c r="AA60" s="6">
        <v>42909</v>
      </c>
      <c r="AC60" s="7" t="s">
        <v>58</v>
      </c>
      <c r="AD60" t="s">
        <v>79</v>
      </c>
    </row>
    <row r="61" spans="1:30">
      <c r="A61" t="s">
        <v>207</v>
      </c>
      <c r="B61" t="s">
        <v>208</v>
      </c>
      <c r="C61" s="25">
        <v>45099</v>
      </c>
      <c r="D61" s="15">
        <v>322500</v>
      </c>
      <c r="E61" t="s">
        <v>46</v>
      </c>
      <c r="F61" t="s">
        <v>56</v>
      </c>
      <c r="G61" s="15">
        <v>322500</v>
      </c>
      <c r="H61" s="15">
        <v>146200</v>
      </c>
      <c r="I61" s="20">
        <f t="shared" si="5"/>
        <v>45.333333333333329</v>
      </c>
      <c r="J61" s="15">
        <v>355225</v>
      </c>
      <c r="K61" s="15">
        <f>G61-301075</f>
        <v>21425</v>
      </c>
      <c r="L61" s="15">
        <v>54150</v>
      </c>
      <c r="M61" s="30">
        <v>0</v>
      </c>
      <c r="N61" s="34">
        <v>0</v>
      </c>
      <c r="O61" s="39">
        <v>10</v>
      </c>
      <c r="P61" s="39">
        <v>10</v>
      </c>
      <c r="Q61" s="15" t="e">
        <f t="shared" si="6"/>
        <v>#DIV/0!</v>
      </c>
      <c r="R61" s="15">
        <f t="shared" si="7"/>
        <v>2142.5</v>
      </c>
      <c r="S61" s="44">
        <f t="shared" si="8"/>
        <v>4.9185032139577596E-2</v>
      </c>
      <c r="T61" s="39">
        <v>0</v>
      </c>
      <c r="U61" s="5" t="s">
        <v>48</v>
      </c>
      <c r="V61" t="s">
        <v>209</v>
      </c>
      <c r="X61" t="s">
        <v>51</v>
      </c>
      <c r="Y61">
        <v>1</v>
      </c>
      <c r="Z61">
        <v>0</v>
      </c>
      <c r="AA61" s="6">
        <v>43011</v>
      </c>
      <c r="AC61" s="7" t="s">
        <v>58</v>
      </c>
    </row>
    <row r="62" spans="1:30">
      <c r="A62" t="s">
        <v>222</v>
      </c>
      <c r="B62" t="s">
        <v>223</v>
      </c>
      <c r="C62" s="25">
        <v>45610</v>
      </c>
      <c r="D62" s="15">
        <v>325000</v>
      </c>
      <c r="E62" t="s">
        <v>46</v>
      </c>
      <c r="F62" t="s">
        <v>56</v>
      </c>
      <c r="G62" s="15">
        <v>325000</v>
      </c>
      <c r="H62" s="15">
        <v>124600</v>
      </c>
      <c r="I62" s="20">
        <f t="shared" si="5"/>
        <v>38.338461538461537</v>
      </c>
      <c r="J62" s="15">
        <v>250480</v>
      </c>
      <c r="K62" s="15">
        <f>G62-171550</f>
        <v>153450</v>
      </c>
      <c r="L62" s="15">
        <v>78930</v>
      </c>
      <c r="M62" s="30">
        <v>0</v>
      </c>
      <c r="N62" s="34">
        <v>0</v>
      </c>
      <c r="O62" s="39">
        <v>20</v>
      </c>
      <c r="P62" s="39">
        <v>20</v>
      </c>
      <c r="Q62" s="15" t="e">
        <f t="shared" si="6"/>
        <v>#DIV/0!</v>
      </c>
      <c r="R62" s="15">
        <f t="shared" si="7"/>
        <v>7672.5</v>
      </c>
      <c r="S62" s="44">
        <f t="shared" si="8"/>
        <v>0.17613636363636365</v>
      </c>
      <c r="T62" s="39">
        <v>0</v>
      </c>
      <c r="U62" s="5" t="s">
        <v>48</v>
      </c>
      <c r="V62" t="s">
        <v>224</v>
      </c>
      <c r="X62" t="s">
        <v>51</v>
      </c>
      <c r="Y62">
        <v>0</v>
      </c>
      <c r="Z62">
        <v>1</v>
      </c>
      <c r="AA62" s="6">
        <v>43027</v>
      </c>
      <c r="AC62" s="7" t="s">
        <v>58</v>
      </c>
    </row>
    <row r="63" spans="1:30">
      <c r="A63" t="s">
        <v>103</v>
      </c>
      <c r="B63" t="s">
        <v>104</v>
      </c>
      <c r="C63" s="25">
        <v>45134</v>
      </c>
      <c r="D63" s="15">
        <v>329999</v>
      </c>
      <c r="E63" t="s">
        <v>46</v>
      </c>
      <c r="F63" t="s">
        <v>56</v>
      </c>
      <c r="G63" s="15">
        <v>329999</v>
      </c>
      <c r="H63" s="15">
        <v>120000</v>
      </c>
      <c r="I63" s="20">
        <f t="shared" si="5"/>
        <v>36.363746556807747</v>
      </c>
      <c r="J63" s="15">
        <v>276180</v>
      </c>
      <c r="K63" s="15">
        <f>G63-220220</f>
        <v>109779</v>
      </c>
      <c r="L63" s="15">
        <v>55960</v>
      </c>
      <c r="M63" s="30">
        <v>0</v>
      </c>
      <c r="N63" s="34">
        <v>0</v>
      </c>
      <c r="O63" s="39">
        <v>10.85</v>
      </c>
      <c r="P63" s="39">
        <v>10.85</v>
      </c>
      <c r="Q63" s="15" t="e">
        <f t="shared" si="6"/>
        <v>#DIV/0!</v>
      </c>
      <c r="R63" s="15">
        <f t="shared" si="7"/>
        <v>10117.880184331798</v>
      </c>
      <c r="S63" s="44">
        <f t="shared" si="8"/>
        <v>0.23227456805169416</v>
      </c>
      <c r="T63" s="39">
        <v>0</v>
      </c>
      <c r="U63" s="5" t="s">
        <v>48</v>
      </c>
      <c r="V63" t="s">
        <v>105</v>
      </c>
      <c r="X63" t="s">
        <v>51</v>
      </c>
      <c r="Y63">
        <v>0</v>
      </c>
      <c r="Z63">
        <v>1</v>
      </c>
      <c r="AA63" s="6">
        <v>41873</v>
      </c>
      <c r="AC63" s="7" t="s">
        <v>58</v>
      </c>
    </row>
    <row r="64" spans="1:30">
      <c r="A64" t="s">
        <v>216</v>
      </c>
      <c r="B64" t="s">
        <v>217</v>
      </c>
      <c r="C64" s="25">
        <v>45489</v>
      </c>
      <c r="D64" s="15">
        <v>345000</v>
      </c>
      <c r="E64" t="s">
        <v>46</v>
      </c>
      <c r="F64" t="s">
        <v>56</v>
      </c>
      <c r="G64" s="15">
        <v>345000</v>
      </c>
      <c r="H64" s="15">
        <v>132800</v>
      </c>
      <c r="I64" s="20">
        <f t="shared" si="5"/>
        <v>38.492753623188406</v>
      </c>
      <c r="J64" s="15">
        <v>278468</v>
      </c>
      <c r="K64" s="15">
        <f>G64-254468</f>
        <v>90532</v>
      </c>
      <c r="L64" s="15">
        <v>24000</v>
      </c>
      <c r="M64" s="30">
        <v>0</v>
      </c>
      <c r="N64" s="34">
        <v>0</v>
      </c>
      <c r="O64" s="39">
        <v>2</v>
      </c>
      <c r="P64" s="39">
        <v>2.15</v>
      </c>
      <c r="Q64" s="15" t="e">
        <f t="shared" si="6"/>
        <v>#DIV/0!</v>
      </c>
      <c r="R64" s="15">
        <f t="shared" si="7"/>
        <v>45266</v>
      </c>
      <c r="S64" s="44">
        <f t="shared" si="8"/>
        <v>1.0391643709825529</v>
      </c>
      <c r="T64" s="39">
        <v>0</v>
      </c>
      <c r="U64" s="5" t="s">
        <v>48</v>
      </c>
      <c r="V64" t="s">
        <v>218</v>
      </c>
      <c r="X64" t="s">
        <v>51</v>
      </c>
      <c r="Y64">
        <v>0</v>
      </c>
      <c r="Z64">
        <v>1</v>
      </c>
      <c r="AA64" s="6">
        <v>43027</v>
      </c>
      <c r="AC64" s="7" t="s">
        <v>58</v>
      </c>
    </row>
    <row r="65" spans="1:44">
      <c r="A65" t="s">
        <v>157</v>
      </c>
      <c r="B65" t="s">
        <v>158</v>
      </c>
      <c r="C65" s="25">
        <v>45323</v>
      </c>
      <c r="D65" s="15">
        <v>349900</v>
      </c>
      <c r="E65" t="s">
        <v>46</v>
      </c>
      <c r="F65" t="s">
        <v>56</v>
      </c>
      <c r="G65" s="15">
        <v>349900</v>
      </c>
      <c r="H65" s="15">
        <v>151000</v>
      </c>
      <c r="I65" s="20">
        <f t="shared" si="5"/>
        <v>43.155187196341807</v>
      </c>
      <c r="J65" s="15">
        <v>354668</v>
      </c>
      <c r="K65" s="15">
        <f>G65-283839</f>
        <v>66061</v>
      </c>
      <c r="L65" s="15">
        <v>70829</v>
      </c>
      <c r="M65" s="30">
        <v>0</v>
      </c>
      <c r="N65" s="34">
        <v>0</v>
      </c>
      <c r="O65" s="39">
        <v>16.920000000000002</v>
      </c>
      <c r="P65" s="39">
        <v>17.12</v>
      </c>
      <c r="Q65" s="15" t="e">
        <f t="shared" si="6"/>
        <v>#DIV/0!</v>
      </c>
      <c r="R65" s="15">
        <f t="shared" si="7"/>
        <v>3904.314420803782</v>
      </c>
      <c r="S65" s="44">
        <f t="shared" si="8"/>
        <v>8.9630725913769096E-2</v>
      </c>
      <c r="T65" s="39">
        <v>0</v>
      </c>
      <c r="U65" s="5" t="s">
        <v>48</v>
      </c>
      <c r="V65" t="s">
        <v>159</v>
      </c>
      <c r="X65" t="s">
        <v>51</v>
      </c>
      <c r="Y65">
        <v>1</v>
      </c>
      <c r="Z65">
        <v>0</v>
      </c>
      <c r="AA65" s="6">
        <v>42573</v>
      </c>
      <c r="AC65" s="7" t="s">
        <v>58</v>
      </c>
    </row>
    <row r="66" spans="1:44">
      <c r="A66" t="s">
        <v>66</v>
      </c>
      <c r="B66" t="s">
        <v>67</v>
      </c>
      <c r="C66" s="25">
        <v>45267</v>
      </c>
      <c r="D66" s="15">
        <v>375000</v>
      </c>
      <c r="E66" t="s">
        <v>46</v>
      </c>
      <c r="F66" t="s">
        <v>56</v>
      </c>
      <c r="G66" s="15">
        <v>375000</v>
      </c>
      <c r="H66" s="15">
        <v>169900</v>
      </c>
      <c r="I66" s="20">
        <f t="shared" ref="I66:I97" si="9">H66/G66*100</f>
        <v>45.306666666666665</v>
      </c>
      <c r="J66" s="15">
        <v>393331</v>
      </c>
      <c r="K66" s="15">
        <f>G66-336312</f>
        <v>38688</v>
      </c>
      <c r="L66" s="15">
        <v>57019</v>
      </c>
      <c r="M66" s="30">
        <v>0</v>
      </c>
      <c r="N66" s="34">
        <v>0</v>
      </c>
      <c r="O66" s="39">
        <v>11.31</v>
      </c>
      <c r="P66" s="39">
        <v>11.31</v>
      </c>
      <c r="Q66" s="15" t="e">
        <f t="shared" ref="Q66:Q78" si="10">K66/M66</f>
        <v>#DIV/0!</v>
      </c>
      <c r="R66" s="15">
        <f t="shared" ref="R66:R78" si="11">K66/O66</f>
        <v>3420.6896551724135</v>
      </c>
      <c r="S66" s="44">
        <f t="shared" ref="S66:S78" si="12">K66/O66/43560</f>
        <v>7.8528228998448427E-2</v>
      </c>
      <c r="T66" s="39">
        <v>0</v>
      </c>
      <c r="U66" s="5" t="s">
        <v>48</v>
      </c>
      <c r="V66" t="s">
        <v>68</v>
      </c>
      <c r="X66" t="s">
        <v>51</v>
      </c>
      <c r="Y66">
        <v>0</v>
      </c>
      <c r="Z66">
        <v>1</v>
      </c>
      <c r="AA66" s="6">
        <v>45659</v>
      </c>
      <c r="AC66" s="7" t="s">
        <v>58</v>
      </c>
    </row>
    <row r="67" spans="1:44">
      <c r="A67" t="s">
        <v>73</v>
      </c>
      <c r="B67" t="s">
        <v>74</v>
      </c>
      <c r="C67" s="25">
        <v>45610</v>
      </c>
      <c r="D67" s="15">
        <v>385000</v>
      </c>
      <c r="E67" t="s">
        <v>46</v>
      </c>
      <c r="F67" t="s">
        <v>56</v>
      </c>
      <c r="G67" s="15">
        <v>385000</v>
      </c>
      <c r="H67" s="15">
        <v>190100</v>
      </c>
      <c r="I67" s="20">
        <f t="shared" si="9"/>
        <v>49.376623376623371</v>
      </c>
      <c r="J67" s="15">
        <v>394378</v>
      </c>
      <c r="K67" s="15">
        <f>G67-332244</f>
        <v>52756</v>
      </c>
      <c r="L67" s="15">
        <v>62134</v>
      </c>
      <c r="M67" s="30">
        <v>0</v>
      </c>
      <c r="N67" s="34">
        <v>0</v>
      </c>
      <c r="O67" s="39">
        <v>13.94</v>
      </c>
      <c r="P67" s="39">
        <v>13.94</v>
      </c>
      <c r="Q67" s="15" t="e">
        <f t="shared" si="10"/>
        <v>#DIV/0!</v>
      </c>
      <c r="R67" s="15">
        <f t="shared" si="11"/>
        <v>3784.5050215208034</v>
      </c>
      <c r="S67" s="44">
        <f t="shared" si="12"/>
        <v>8.6880280567511556E-2</v>
      </c>
      <c r="T67" s="39">
        <v>0</v>
      </c>
      <c r="U67" s="5" t="s">
        <v>48</v>
      </c>
      <c r="V67" t="s">
        <v>75</v>
      </c>
      <c r="X67" t="s">
        <v>51</v>
      </c>
      <c r="Y67">
        <v>0</v>
      </c>
      <c r="Z67">
        <v>0</v>
      </c>
      <c r="AA67" s="6">
        <v>41820</v>
      </c>
      <c r="AC67" s="7" t="s">
        <v>58</v>
      </c>
    </row>
    <row r="68" spans="1:44">
      <c r="A68" t="s">
        <v>150</v>
      </c>
      <c r="B68" t="s">
        <v>151</v>
      </c>
      <c r="C68" s="25">
        <v>45476</v>
      </c>
      <c r="D68" s="15">
        <v>399900</v>
      </c>
      <c r="E68" t="s">
        <v>46</v>
      </c>
      <c r="F68" t="s">
        <v>47</v>
      </c>
      <c r="G68" s="15">
        <v>399900</v>
      </c>
      <c r="H68" s="15">
        <v>170300</v>
      </c>
      <c r="I68" s="20">
        <f t="shared" si="9"/>
        <v>42.585646411602902</v>
      </c>
      <c r="J68" s="15">
        <v>337243</v>
      </c>
      <c r="K68" s="15">
        <f>G68-304323</f>
        <v>95577</v>
      </c>
      <c r="L68" s="15">
        <v>32920</v>
      </c>
      <c r="M68" s="30">
        <v>0</v>
      </c>
      <c r="N68" s="34">
        <v>0</v>
      </c>
      <c r="O68" s="39">
        <v>3</v>
      </c>
      <c r="P68" s="39">
        <v>2</v>
      </c>
      <c r="Q68" s="15" t="e">
        <f t="shared" si="10"/>
        <v>#DIV/0!</v>
      </c>
      <c r="R68" s="15">
        <f t="shared" si="11"/>
        <v>31859</v>
      </c>
      <c r="S68" s="44">
        <f t="shared" si="12"/>
        <v>0.73138200183654734</v>
      </c>
      <c r="T68" s="39">
        <v>0</v>
      </c>
      <c r="U68" s="5" t="s">
        <v>48</v>
      </c>
      <c r="V68" t="s">
        <v>152</v>
      </c>
      <c r="W68" t="s">
        <v>153</v>
      </c>
      <c r="X68" t="s">
        <v>51</v>
      </c>
      <c r="Y68">
        <v>1</v>
      </c>
      <c r="Z68">
        <v>0</v>
      </c>
      <c r="AA68" s="6">
        <v>42573</v>
      </c>
      <c r="AC68" s="7" t="s">
        <v>58</v>
      </c>
    </row>
    <row r="69" spans="1:44">
      <c r="A69" t="s">
        <v>259</v>
      </c>
      <c r="B69" t="s">
        <v>260</v>
      </c>
      <c r="C69" s="25">
        <v>45061</v>
      </c>
      <c r="D69" s="15">
        <v>402500</v>
      </c>
      <c r="E69" t="s">
        <v>46</v>
      </c>
      <c r="F69" t="s">
        <v>56</v>
      </c>
      <c r="G69" s="15">
        <v>402500</v>
      </c>
      <c r="H69" s="15">
        <v>181200</v>
      </c>
      <c r="I69" s="20">
        <f t="shared" si="9"/>
        <v>45.018633540372669</v>
      </c>
      <c r="J69" s="15">
        <v>359101</v>
      </c>
      <c r="K69" s="15">
        <f>G69-310501</f>
        <v>91999</v>
      </c>
      <c r="L69" s="15">
        <v>48600</v>
      </c>
      <c r="M69" s="30">
        <v>0</v>
      </c>
      <c r="N69" s="34">
        <v>0</v>
      </c>
      <c r="O69" s="39">
        <v>6</v>
      </c>
      <c r="P69" s="39">
        <v>3</v>
      </c>
      <c r="Q69" s="15" t="e">
        <f t="shared" si="10"/>
        <v>#DIV/0!</v>
      </c>
      <c r="R69" s="15">
        <f t="shared" si="11"/>
        <v>15333.166666666666</v>
      </c>
      <c r="S69" s="44">
        <f t="shared" si="12"/>
        <v>0.35200107131925312</v>
      </c>
      <c r="T69" s="39">
        <v>0</v>
      </c>
      <c r="U69" s="5" t="s">
        <v>48</v>
      </c>
      <c r="V69" t="s">
        <v>261</v>
      </c>
      <c r="W69" t="s">
        <v>262</v>
      </c>
      <c r="X69" t="s">
        <v>51</v>
      </c>
      <c r="Y69">
        <v>0</v>
      </c>
      <c r="Z69">
        <v>0</v>
      </c>
      <c r="AA69" s="6">
        <v>44155</v>
      </c>
      <c r="AC69" s="7" t="s">
        <v>58</v>
      </c>
    </row>
    <row r="70" spans="1:44">
      <c r="A70" t="s">
        <v>262</v>
      </c>
      <c r="B70" t="s">
        <v>263</v>
      </c>
      <c r="C70" s="25">
        <v>45062</v>
      </c>
      <c r="D70" s="15">
        <v>402500</v>
      </c>
      <c r="E70" t="s">
        <v>46</v>
      </c>
      <c r="F70" t="s">
        <v>56</v>
      </c>
      <c r="G70" s="15">
        <v>402500</v>
      </c>
      <c r="H70" s="15">
        <v>12200</v>
      </c>
      <c r="I70" s="20">
        <f t="shared" si="9"/>
        <v>3.031055900621118</v>
      </c>
      <c r="J70" s="15">
        <v>359101</v>
      </c>
      <c r="K70" s="15">
        <f>G70-310501</f>
        <v>91999</v>
      </c>
      <c r="L70" s="15">
        <v>48600</v>
      </c>
      <c r="M70" s="30">
        <v>0</v>
      </c>
      <c r="N70" s="34">
        <v>0</v>
      </c>
      <c r="O70" s="39">
        <v>6</v>
      </c>
      <c r="P70" s="39">
        <v>3</v>
      </c>
      <c r="Q70" s="15" t="e">
        <f t="shared" si="10"/>
        <v>#DIV/0!</v>
      </c>
      <c r="R70" s="15">
        <f t="shared" si="11"/>
        <v>15333.166666666666</v>
      </c>
      <c r="S70" s="44">
        <f t="shared" si="12"/>
        <v>0.35200107131925312</v>
      </c>
      <c r="T70" s="39">
        <v>0</v>
      </c>
      <c r="U70" s="5" t="s">
        <v>48</v>
      </c>
      <c r="V70" t="s">
        <v>261</v>
      </c>
      <c r="W70" t="s">
        <v>259</v>
      </c>
      <c r="X70" t="s">
        <v>51</v>
      </c>
      <c r="Y70">
        <v>0</v>
      </c>
      <c r="Z70">
        <v>0</v>
      </c>
      <c r="AA70" s="6">
        <v>43047</v>
      </c>
      <c r="AC70" s="7" t="s">
        <v>52</v>
      </c>
    </row>
    <row r="71" spans="1:44">
      <c r="A71" t="s">
        <v>243</v>
      </c>
      <c r="B71" t="s">
        <v>244</v>
      </c>
      <c r="C71" s="25">
        <v>45560</v>
      </c>
      <c r="D71" s="15">
        <v>410000</v>
      </c>
      <c r="E71" t="s">
        <v>46</v>
      </c>
      <c r="F71" t="s">
        <v>56</v>
      </c>
      <c r="G71" s="15">
        <v>410000</v>
      </c>
      <c r="H71" s="15">
        <v>151400</v>
      </c>
      <c r="I71" s="20">
        <f t="shared" si="9"/>
        <v>36.926829268292686</v>
      </c>
      <c r="J71" s="15">
        <v>315330</v>
      </c>
      <c r="K71" s="15">
        <f>G71-256326</f>
        <v>153674</v>
      </c>
      <c r="L71" s="15">
        <v>59004</v>
      </c>
      <c r="M71" s="30">
        <v>0</v>
      </c>
      <c r="N71" s="34">
        <v>0</v>
      </c>
      <c r="O71" s="39">
        <v>9.75</v>
      </c>
      <c r="P71" s="39">
        <v>9.75</v>
      </c>
      <c r="Q71" s="15" t="e">
        <f t="shared" si="10"/>
        <v>#DIV/0!</v>
      </c>
      <c r="R71" s="15">
        <f t="shared" si="11"/>
        <v>15761.435897435897</v>
      </c>
      <c r="S71" s="44">
        <f t="shared" si="12"/>
        <v>0.36183278001459818</v>
      </c>
      <c r="T71" s="39">
        <v>0</v>
      </c>
      <c r="U71" s="5" t="s">
        <v>48</v>
      </c>
      <c r="V71" t="s">
        <v>245</v>
      </c>
      <c r="X71" t="s">
        <v>51</v>
      </c>
      <c r="Y71">
        <v>0</v>
      </c>
      <c r="Z71">
        <v>1</v>
      </c>
      <c r="AA71" s="6">
        <v>43052</v>
      </c>
      <c r="AC71" s="7" t="s">
        <v>58</v>
      </c>
    </row>
    <row r="72" spans="1:44">
      <c r="A72" t="s">
        <v>246</v>
      </c>
      <c r="B72" t="s">
        <v>247</v>
      </c>
      <c r="C72" s="25">
        <v>45538</v>
      </c>
      <c r="D72" s="15">
        <v>429900</v>
      </c>
      <c r="E72" t="s">
        <v>46</v>
      </c>
      <c r="F72" t="s">
        <v>56</v>
      </c>
      <c r="G72" s="15">
        <v>429900</v>
      </c>
      <c r="H72" s="15">
        <v>139600</v>
      </c>
      <c r="I72" s="20">
        <f t="shared" si="9"/>
        <v>32.472668062340077</v>
      </c>
      <c r="J72" s="15">
        <v>292675</v>
      </c>
      <c r="K72" s="15">
        <f>G72-255279</f>
        <v>174621</v>
      </c>
      <c r="L72" s="15">
        <v>37396</v>
      </c>
      <c r="M72" s="30">
        <v>0</v>
      </c>
      <c r="N72" s="34">
        <v>0</v>
      </c>
      <c r="O72" s="39">
        <v>3.6</v>
      </c>
      <c r="P72" s="39">
        <v>3.6</v>
      </c>
      <c r="Q72" s="15" t="e">
        <f t="shared" si="10"/>
        <v>#DIV/0!</v>
      </c>
      <c r="R72" s="15">
        <f t="shared" si="11"/>
        <v>48505.833333333336</v>
      </c>
      <c r="S72" s="44">
        <f t="shared" si="12"/>
        <v>1.1135407101316193</v>
      </c>
      <c r="T72" s="39">
        <v>9</v>
      </c>
      <c r="U72" s="5" t="s">
        <v>48</v>
      </c>
      <c r="V72" t="s">
        <v>248</v>
      </c>
      <c r="X72" t="s">
        <v>51</v>
      </c>
      <c r="Y72">
        <v>0</v>
      </c>
      <c r="Z72">
        <v>1</v>
      </c>
      <c r="AA72" s="6">
        <v>43046</v>
      </c>
      <c r="AC72" s="7" t="s">
        <v>58</v>
      </c>
      <c r="AD72" t="s">
        <v>79</v>
      </c>
    </row>
    <row r="73" spans="1:44">
      <c r="A73" t="s">
        <v>240</v>
      </c>
      <c r="B73" t="s">
        <v>241</v>
      </c>
      <c r="C73" s="25">
        <v>45027</v>
      </c>
      <c r="D73" s="15">
        <v>460000</v>
      </c>
      <c r="E73" t="s">
        <v>46</v>
      </c>
      <c r="F73" t="s">
        <v>56</v>
      </c>
      <c r="G73" s="15">
        <v>460000</v>
      </c>
      <c r="H73" s="15">
        <v>197500</v>
      </c>
      <c r="I73" s="20">
        <f t="shared" si="9"/>
        <v>42.934782608695656</v>
      </c>
      <c r="J73" s="15">
        <v>429143</v>
      </c>
      <c r="K73" s="15">
        <f>G73-385275</f>
        <v>74725</v>
      </c>
      <c r="L73" s="15">
        <v>43868</v>
      </c>
      <c r="M73" s="30">
        <v>0</v>
      </c>
      <c r="N73" s="34">
        <v>0</v>
      </c>
      <c r="O73" s="39">
        <v>4.8</v>
      </c>
      <c r="P73" s="39">
        <v>4.8</v>
      </c>
      <c r="Q73" s="15" t="e">
        <f t="shared" si="10"/>
        <v>#DIV/0!</v>
      </c>
      <c r="R73" s="15">
        <f t="shared" si="11"/>
        <v>15567.708333333334</v>
      </c>
      <c r="S73" s="44">
        <f t="shared" si="12"/>
        <v>0.35738540710131622</v>
      </c>
      <c r="T73" s="39">
        <v>9</v>
      </c>
      <c r="U73" s="5" t="s">
        <v>48</v>
      </c>
      <c r="V73" t="s">
        <v>242</v>
      </c>
      <c r="X73" t="s">
        <v>51</v>
      </c>
      <c r="Y73">
        <v>0</v>
      </c>
      <c r="Z73">
        <v>0</v>
      </c>
      <c r="AA73" s="6">
        <v>43046</v>
      </c>
      <c r="AC73" s="7" t="s">
        <v>58</v>
      </c>
      <c r="AD73" t="s">
        <v>79</v>
      </c>
    </row>
    <row r="74" spans="1:44">
      <c r="A74" t="s">
        <v>195</v>
      </c>
      <c r="B74" t="s">
        <v>196</v>
      </c>
      <c r="C74" s="25">
        <v>45429</v>
      </c>
      <c r="D74" s="15">
        <v>466000</v>
      </c>
      <c r="E74" t="s">
        <v>46</v>
      </c>
      <c r="F74" t="s">
        <v>47</v>
      </c>
      <c r="G74" s="15">
        <v>466000</v>
      </c>
      <c r="H74" s="15">
        <v>208500</v>
      </c>
      <c r="I74" s="20">
        <f t="shared" si="9"/>
        <v>44.742489270386265</v>
      </c>
      <c r="J74" s="15">
        <v>412353</v>
      </c>
      <c r="K74" s="15">
        <f>G74-345167</f>
        <v>120833</v>
      </c>
      <c r="L74" s="15">
        <v>67186</v>
      </c>
      <c r="M74" s="30">
        <v>0</v>
      </c>
      <c r="N74" s="34">
        <v>0</v>
      </c>
      <c r="O74" s="39">
        <v>8.01</v>
      </c>
      <c r="P74" s="39">
        <v>4</v>
      </c>
      <c r="Q74" s="15" t="e">
        <f t="shared" si="10"/>
        <v>#DIV/0!</v>
      </c>
      <c r="R74" s="15">
        <f t="shared" si="11"/>
        <v>15085.268414481898</v>
      </c>
      <c r="S74" s="44">
        <f t="shared" si="12"/>
        <v>0.34631011052529609</v>
      </c>
      <c r="T74" s="39">
        <v>0</v>
      </c>
      <c r="U74" s="5" t="s">
        <v>48</v>
      </c>
      <c r="V74" t="s">
        <v>197</v>
      </c>
      <c r="W74" t="s">
        <v>198</v>
      </c>
      <c r="X74" t="s">
        <v>51</v>
      </c>
      <c r="Y74">
        <v>0</v>
      </c>
      <c r="Z74">
        <v>1</v>
      </c>
      <c r="AA74" s="6">
        <v>42968</v>
      </c>
      <c r="AC74" s="7" t="s">
        <v>58</v>
      </c>
    </row>
    <row r="75" spans="1:44">
      <c r="A75" t="s">
        <v>91</v>
      </c>
      <c r="C75" s="25">
        <v>45544</v>
      </c>
      <c r="D75" s="15">
        <v>485000</v>
      </c>
      <c r="E75" t="s">
        <v>46</v>
      </c>
      <c r="F75" t="s">
        <v>56</v>
      </c>
      <c r="G75" s="15">
        <v>485000</v>
      </c>
      <c r="H75" s="15">
        <v>176800</v>
      </c>
      <c r="I75" s="20">
        <f t="shared" si="9"/>
        <v>36.453608247422679</v>
      </c>
      <c r="J75" s="15">
        <v>361912</v>
      </c>
      <c r="K75" s="15">
        <f>G75-299278</f>
        <v>185722</v>
      </c>
      <c r="L75" s="15">
        <v>62634</v>
      </c>
      <c r="M75" s="30">
        <v>0</v>
      </c>
      <c r="N75" s="34">
        <v>0</v>
      </c>
      <c r="O75" s="39">
        <v>13.895</v>
      </c>
      <c r="P75" s="39">
        <v>14.27</v>
      </c>
      <c r="Q75" s="15" t="e">
        <f t="shared" si="10"/>
        <v>#DIV/0!</v>
      </c>
      <c r="R75" s="15">
        <f t="shared" si="11"/>
        <v>13366.102914717525</v>
      </c>
      <c r="S75" s="44">
        <f t="shared" si="12"/>
        <v>0.30684350125614152</v>
      </c>
      <c r="T75" s="39">
        <v>495</v>
      </c>
      <c r="U75" s="5" t="s">
        <v>48</v>
      </c>
      <c r="V75" t="s">
        <v>92</v>
      </c>
      <c r="X75" t="s">
        <v>51</v>
      </c>
      <c r="Y75">
        <v>0</v>
      </c>
      <c r="Z75">
        <v>0</v>
      </c>
      <c r="AA75" s="6">
        <v>41975</v>
      </c>
      <c r="AC75" s="7" t="s">
        <v>93</v>
      </c>
      <c r="AD75" t="s">
        <v>79</v>
      </c>
    </row>
    <row r="76" spans="1:44">
      <c r="A76" t="s">
        <v>53</v>
      </c>
      <c r="B76" t="s">
        <v>54</v>
      </c>
      <c r="C76" s="25">
        <v>45246</v>
      </c>
      <c r="D76" s="15">
        <v>500000</v>
      </c>
      <c r="E76" t="s">
        <v>55</v>
      </c>
      <c r="F76" t="s">
        <v>56</v>
      </c>
      <c r="G76" s="15">
        <v>500000</v>
      </c>
      <c r="H76" s="15">
        <v>193900</v>
      </c>
      <c r="I76" s="20">
        <f t="shared" si="9"/>
        <v>38.78</v>
      </c>
      <c r="J76" s="15">
        <v>458228</v>
      </c>
      <c r="K76" s="15">
        <f>G76-391764</f>
        <v>108236</v>
      </c>
      <c r="L76" s="15">
        <v>66464</v>
      </c>
      <c r="M76" s="30">
        <v>0</v>
      </c>
      <c r="N76" s="34">
        <v>0</v>
      </c>
      <c r="O76" s="39">
        <v>16</v>
      </c>
      <c r="P76" s="39">
        <v>16</v>
      </c>
      <c r="Q76" s="15" t="e">
        <f t="shared" si="10"/>
        <v>#DIV/0!</v>
      </c>
      <c r="R76" s="15">
        <f t="shared" si="11"/>
        <v>6764.75</v>
      </c>
      <c r="S76" s="44">
        <f t="shared" si="12"/>
        <v>0.15529729109274565</v>
      </c>
      <c r="T76" s="39">
        <v>0</v>
      </c>
      <c r="U76" s="5" t="s">
        <v>48</v>
      </c>
      <c r="V76" t="s">
        <v>57</v>
      </c>
      <c r="X76" t="s">
        <v>51</v>
      </c>
      <c r="Y76">
        <v>1</v>
      </c>
      <c r="Z76">
        <v>0</v>
      </c>
      <c r="AA76" s="6">
        <v>41799</v>
      </c>
      <c r="AC76" s="7" t="s">
        <v>58</v>
      </c>
    </row>
    <row r="77" spans="1:44">
      <c r="A77" t="s">
        <v>256</v>
      </c>
      <c r="B77" t="s">
        <v>257</v>
      </c>
      <c r="C77" s="25">
        <v>45730</v>
      </c>
      <c r="D77" s="15">
        <v>775000</v>
      </c>
      <c r="E77" t="s">
        <v>46</v>
      </c>
      <c r="F77" t="s">
        <v>56</v>
      </c>
      <c r="G77" s="15">
        <v>775000</v>
      </c>
      <c r="H77" s="15">
        <v>233300</v>
      </c>
      <c r="I77" s="20">
        <f t="shared" si="9"/>
        <v>30.103225806451611</v>
      </c>
      <c r="J77" s="15">
        <v>520290</v>
      </c>
      <c r="K77" s="15">
        <f>G77-281750</f>
        <v>493250</v>
      </c>
      <c r="L77" s="15">
        <v>238540</v>
      </c>
      <c r="M77" s="30">
        <v>0</v>
      </c>
      <c r="N77" s="34">
        <v>0</v>
      </c>
      <c r="O77" s="39">
        <v>71.319999999999993</v>
      </c>
      <c r="P77" s="39">
        <v>71.319999999999993</v>
      </c>
      <c r="Q77" s="15" t="e">
        <f t="shared" si="10"/>
        <v>#DIV/0!</v>
      </c>
      <c r="R77" s="15">
        <f t="shared" si="11"/>
        <v>6916.0123387549083</v>
      </c>
      <c r="S77" s="44">
        <f t="shared" si="12"/>
        <v>0.15876979657380413</v>
      </c>
      <c r="T77" s="39">
        <v>8</v>
      </c>
      <c r="U77" s="5" t="s">
        <v>48</v>
      </c>
      <c r="V77" t="s">
        <v>258</v>
      </c>
      <c r="X77" t="s">
        <v>51</v>
      </c>
      <c r="Y77">
        <v>0</v>
      </c>
      <c r="Z77">
        <v>1</v>
      </c>
      <c r="AA77" s="6">
        <v>43055</v>
      </c>
      <c r="AC77" s="7" t="s">
        <v>58</v>
      </c>
      <c r="AD77" t="s">
        <v>79</v>
      </c>
    </row>
    <row r="78" spans="1:44" ht="15" thickBot="1">
      <c r="A78" t="s">
        <v>249</v>
      </c>
      <c r="B78" t="s">
        <v>250</v>
      </c>
      <c r="C78" s="25">
        <v>45343</v>
      </c>
      <c r="D78" s="15">
        <v>815000</v>
      </c>
      <c r="E78" t="s">
        <v>46</v>
      </c>
      <c r="F78" t="s">
        <v>56</v>
      </c>
      <c r="G78" s="15">
        <v>815000</v>
      </c>
      <c r="H78" s="15">
        <v>299400</v>
      </c>
      <c r="I78" s="20">
        <f t="shared" si="9"/>
        <v>36.736196319018404</v>
      </c>
      <c r="J78" s="15">
        <v>639693</v>
      </c>
      <c r="K78" s="15">
        <f>G78-337831</f>
        <v>477169</v>
      </c>
      <c r="L78" s="15">
        <v>301862</v>
      </c>
      <c r="M78" s="30">
        <v>0</v>
      </c>
      <c r="N78" s="34">
        <v>0</v>
      </c>
      <c r="O78" s="39">
        <v>82.2</v>
      </c>
      <c r="P78" s="39">
        <v>82.2</v>
      </c>
      <c r="Q78" s="15" t="e">
        <f t="shared" si="10"/>
        <v>#DIV/0!</v>
      </c>
      <c r="R78" s="15">
        <f t="shared" si="11"/>
        <v>5804.9756690997565</v>
      </c>
      <c r="S78" s="44">
        <f t="shared" si="12"/>
        <v>0.1332639042493057</v>
      </c>
      <c r="T78" s="39">
        <v>0</v>
      </c>
      <c r="U78" s="5" t="s">
        <v>48</v>
      </c>
      <c r="V78" t="s">
        <v>251</v>
      </c>
      <c r="X78" t="s">
        <v>51</v>
      </c>
      <c r="Y78">
        <v>0</v>
      </c>
      <c r="Z78">
        <v>0</v>
      </c>
      <c r="AA78" s="6">
        <v>43046</v>
      </c>
      <c r="AC78" s="7" t="s">
        <v>58</v>
      </c>
    </row>
    <row r="79" spans="1:44" ht="15.75" thickTop="1">
      <c r="A79" s="8"/>
      <c r="B79" s="8"/>
      <c r="C79" s="26" t="s">
        <v>281</v>
      </c>
      <c r="D79" s="16">
        <f>+SUM(D2:D78)</f>
        <v>17686449</v>
      </c>
      <c r="E79" s="8"/>
      <c r="F79" s="8"/>
      <c r="G79" s="16">
        <f>+SUM(G2:G78)</f>
        <v>17686449</v>
      </c>
      <c r="H79" s="16">
        <f>+SUM(H2:H78)</f>
        <v>6573300</v>
      </c>
      <c r="I79" s="21"/>
      <c r="J79" s="16">
        <f>+SUM(J2:J78)</f>
        <v>15039226</v>
      </c>
      <c r="K79" s="16">
        <f>+SUM(K2:K78)</f>
        <v>6637012</v>
      </c>
      <c r="L79" s="16">
        <f>+SUM(L2:L78)</f>
        <v>3988595</v>
      </c>
      <c r="M79" s="31">
        <f>+SUM(M2:M78)</f>
        <v>600</v>
      </c>
      <c r="N79" s="35"/>
      <c r="O79" s="40">
        <f>+SUM(O2:O78)</f>
        <v>735.9340000000002</v>
      </c>
      <c r="P79" s="40">
        <f>+SUM(P2:P78)</f>
        <v>665.58500000000026</v>
      </c>
      <c r="Q79" s="16"/>
      <c r="R79" s="16"/>
      <c r="S79" s="45"/>
      <c r="T79" s="40"/>
      <c r="U79" s="9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</row>
    <row r="80" spans="1:44" ht="15">
      <c r="A80" s="10"/>
      <c r="B80" s="10"/>
      <c r="C80" s="27"/>
      <c r="D80" s="17"/>
      <c r="E80" s="10"/>
      <c r="F80" s="10"/>
      <c r="G80" s="17"/>
      <c r="H80" s="17" t="s">
        <v>282</v>
      </c>
      <c r="I80" s="22">
        <f>H79/G79*100</f>
        <v>37.165741975678671</v>
      </c>
      <c r="J80" s="17"/>
      <c r="K80" s="17"/>
      <c r="L80" s="17" t="s">
        <v>283</v>
      </c>
      <c r="M80" s="32"/>
      <c r="N80" s="36"/>
      <c r="O80" s="41" t="s">
        <v>283</v>
      </c>
      <c r="P80" s="41"/>
      <c r="Q80" s="17"/>
      <c r="R80" s="17" t="s">
        <v>283</v>
      </c>
      <c r="S80" s="46"/>
      <c r="T80" s="41"/>
      <c r="U80" s="11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</row>
    <row r="81" spans="1:44" ht="15">
      <c r="A81" s="12"/>
      <c r="B81" s="12"/>
      <c r="C81" s="28"/>
      <c r="D81" s="18"/>
      <c r="E81" s="12"/>
      <c r="F81" s="12"/>
      <c r="G81" s="18"/>
      <c r="H81" s="18" t="s">
        <v>284</v>
      </c>
      <c r="I81" s="23">
        <f>STDEV(I2:I78)</f>
        <v>18.513898706452071</v>
      </c>
      <c r="J81" s="18"/>
      <c r="K81" s="18"/>
      <c r="L81" s="18" t="s">
        <v>285</v>
      </c>
      <c r="M81" s="48">
        <f>K79/M79</f>
        <v>11061.686666666666</v>
      </c>
      <c r="N81" s="37"/>
      <c r="O81" s="42" t="s">
        <v>286</v>
      </c>
      <c r="P81" s="42">
        <f>K79/O79</f>
        <v>9018.4880709411409</v>
      </c>
      <c r="Q81" s="18"/>
      <c r="R81" s="18" t="s">
        <v>287</v>
      </c>
      <c r="S81" s="47">
        <f>K79/O79/43560</f>
        <v>0.20703599795548991</v>
      </c>
      <c r="T81" s="42"/>
      <c r="U81" s="13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</row>
    <row r="83" spans="1:44">
      <c r="A83" t="s">
        <v>288</v>
      </c>
    </row>
  </sheetData>
  <sheetProtection password="C7B3" sheet="1" objects="1" scenarios="1"/>
  <sortState ref="A2:AR81">
    <sortCondition ref="D2:D81"/>
  </sortState>
  <conditionalFormatting sqref="A2:AR7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apps2</dc:creator>
  <cp:lastModifiedBy>Andy</cp:lastModifiedBy>
  <dcterms:created xsi:type="dcterms:W3CDTF">2026-01-27T21:20:31Z</dcterms:created>
  <dcterms:modified xsi:type="dcterms:W3CDTF">2026-03-09T22:45:03Z</dcterms:modified>
</cp:coreProperties>
</file>