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Land Analysis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/>
  <c r="K2"/>
  <c r="Q2"/>
  <c r="R2"/>
  <c r="S2"/>
  <c r="I3"/>
  <c r="K3"/>
  <c r="Q3"/>
  <c r="R3"/>
  <c r="S3"/>
  <c r="I4"/>
  <c r="K4"/>
  <c r="Q4"/>
  <c r="R4"/>
  <c r="S4"/>
  <c r="I5"/>
  <c r="K5"/>
  <c r="Q5"/>
  <c r="R5"/>
  <c r="S5"/>
  <c r="I6"/>
  <c r="K6"/>
  <c r="Q6"/>
  <c r="R6"/>
  <c r="S6"/>
  <c r="I7"/>
  <c r="K7"/>
  <c r="Q7"/>
  <c r="R7"/>
  <c r="S7"/>
  <c r="I8"/>
  <c r="K8"/>
  <c r="Q8"/>
  <c r="R8"/>
  <c r="S8"/>
  <c r="I9"/>
  <c r="K9"/>
  <c r="Q9"/>
  <c r="R9"/>
  <c r="S9"/>
  <c r="D10"/>
  <c r="G10"/>
  <c r="H10"/>
  <c r="J10"/>
  <c r="K10"/>
  <c r="L10"/>
  <c r="M10"/>
  <c r="O10"/>
  <c r="P10"/>
  <c r="I11"/>
  <c r="I12"/>
  <c r="M12"/>
  <c r="P12"/>
  <c r="S12"/>
</calcChain>
</file>

<file path=xl/sharedStrings.xml><?xml version="1.0" encoding="utf-8"?>
<sst xmlns="http://schemas.openxmlformats.org/spreadsheetml/2006/main" count="119" uniqueCount="84">
  <si>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</si>
  <si>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</si>
  <si>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</si>
  <si>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</si>
  <si>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</si>
  <si>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</si>
  <si>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</si>
  <si>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</si>
  <si>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</si>
  <si>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</si>
  <si>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</si>
  <si>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</si>
  <si>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</si>
  <si>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</si>
  <si>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</si>
  <si>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</si>
  <si>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</si>
  <si>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</si>
  <si>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</si>
  <si>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</si>
  <si>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</si>
  <si>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</si>
  <si>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</si>
  <si>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</si>
  <si>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</si>
  <si>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</si>
  <si>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</si>
  <si>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</si>
  <si>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</si>
  <si>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</si>
  <si>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</si>
  <si>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</si>
  <si>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</si>
  <si>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</si>
  <si>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</si>
  <si>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</si>
  <si>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</si>
  <si>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</si>
  <si>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</si>
  <si>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</si>
  <si>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</si>
  <si>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</si>
  <si>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</si>
  <si>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</si>
  <si>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017-014-677-04</t>
  </si>
  <si>
    <t>9581 BLACKHAWK TRAIL</t>
  </si>
  <si>
    <t>WD</t>
  </si>
  <si>
    <t>03-ARM'S LENGTH</t>
  </si>
  <si>
    <t>TWPPL</t>
  </si>
  <si>
    <t>2024R-07270</t>
  </si>
  <si>
    <t>TOWNSHIP PLAT</t>
  </si>
  <si>
    <t>401</t>
  </si>
  <si>
    <t>017-014-678-05</t>
  </si>
  <si>
    <t>9642 HUMMINGBIRD CT</t>
  </si>
  <si>
    <t>2023R-07028</t>
  </si>
  <si>
    <t>017-024-775-01</t>
  </si>
  <si>
    <t>18984 TALL TIMBERS DR</t>
  </si>
  <si>
    <t>2023R-05725</t>
  </si>
  <si>
    <t>017-024-775-13</t>
  </si>
  <si>
    <t>18888 W ALMY RD</t>
  </si>
  <si>
    <t>2023R-11514</t>
  </si>
  <si>
    <t>017-027-857-03</t>
  </si>
  <si>
    <t>ROLLING PINES DR</t>
  </si>
  <si>
    <t>2024R-10287</t>
  </si>
  <si>
    <t>402</t>
  </si>
  <si>
    <t>017-027-857-05</t>
  </si>
  <si>
    <t>7328 ROLLING PINES DR</t>
  </si>
  <si>
    <t>2024R-01090</t>
  </si>
  <si>
    <t>017-027-857-13</t>
  </si>
  <si>
    <t>7473 ROLLING PINES DR</t>
  </si>
  <si>
    <t>2024R-02864</t>
  </si>
  <si>
    <t>017-033-875-03</t>
  </si>
  <si>
    <t>6044 OLIVIA LANE</t>
  </si>
  <si>
    <t>19-MULTI PARCEL ARM'S LENGTH</t>
  </si>
  <si>
    <t>2024R-03289</t>
  </si>
  <si>
    <t>017-033-875-04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</si>
  <si>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</si>
  <si>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</si>
  <si>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</si>
  <si>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</si>
  <si>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</si>
  <si>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</si>
  <si>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</si>
  <si>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TOWNSHIP PLATS LAND $24,000 FIRST ACRE  APPLIED % ACRES AT TOWNSHIP RURAL RES RATES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</si>
</sst>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4"/>
  <sheetViews>
    <sheetView tabSelected="1" workbookViewId="0">
      <selection activeCell="B14" sqref="A14:XFD14"/>
    </sheetView>
  </sheetViews>
  <sheetFormatPr defaultRowHeight="14.25"/>
  <cols>
    <col min="1" max="1" width="14.375" bestFit="1" customWidth="1"/>
    <col min="2" max="2" width="21.875" bestFit="1" customWidth="1"/>
    <col min="3" max="3" width="9.625" style="25" bestFit="1" customWidth="1"/>
    <col min="4" max="4" width="10.875" style="15" bestFit="1" customWidth="1"/>
    <col min="5" max="5" width="5.75" bestFit="1" customWidth="1"/>
    <col min="6" max="6" width="29.375" bestFit="1" customWidth="1"/>
    <col min="7" max="7" width="10.875" style="15" bestFit="1" customWidth="1"/>
    <col min="8" max="8" width="14.75" style="15" bestFit="1" customWidth="1"/>
    <col min="9" max="9" width="12.75" style="20" bestFit="1" customWidth="1"/>
    <col min="10" max="11" width="13.75" style="15" bestFit="1" customWidth="1"/>
    <col min="12" max="12" width="14.75" style="15" bestFit="1" customWidth="1"/>
    <col min="13" max="13" width="11.375" style="30" bestFit="1" customWidth="1"/>
    <col min="14" max="14" width="6.625" style="34" bestFit="1" customWidth="1"/>
    <col min="15" max="15" width="14.25" style="39" bestFit="1" customWidth="1"/>
    <col min="16" max="16" width="10.875" style="39" bestFit="1" customWidth="1"/>
    <col min="17" max="17" width="10.125" style="15" bestFit="1" customWidth="1"/>
    <col min="18" max="18" width="12.125" style="15" bestFit="1" customWidth="1"/>
    <col min="19" max="19" width="12.125" style="44" bestFit="1" customWidth="1"/>
    <col min="20" max="20" width="11.75" style="39" bestFit="1" customWidth="1"/>
    <col min="21" max="21" width="9" style="4" bestFit="1" customWidth="1"/>
    <col min="22" max="22" width="11.875" bestFit="1" customWidth="1"/>
    <col min="23" max="23" width="19.875" bestFit="1" customWidth="1"/>
    <col min="24" max="24" width="15.25" bestFit="1" customWidth="1"/>
    <col min="25" max="25" width="6.875" bestFit="1" customWidth="1"/>
    <col min="26" max="26" width="6.375" bestFit="1" customWidth="1"/>
    <col min="27" max="27" width="14.875" bestFit="1" customWidth="1"/>
    <col min="28" max="28" width="9.75" bestFit="1" customWidth="1"/>
    <col min="29" max="29" width="6" bestFit="1" customWidth="1"/>
    <col min="30" max="32" width="12.625" bestFit="1" customWidth="1"/>
    <col min="33" max="33" width="19" bestFit="1" customWidth="1"/>
    <col min="34" max="34" width="7.25" bestFit="1" customWidth="1"/>
    <col min="35" max="35" width="13.125" bestFit="1" customWidth="1"/>
    <col min="36" max="36" width="6.625" bestFit="1" customWidth="1"/>
    <col min="37" max="37" width="20.375" bestFit="1" customWidth="1"/>
    <col min="38" max="38" width="17" bestFit="1" customWidth="1"/>
    <col min="39" max="39" width="15" bestFit="1" customWidth="1"/>
    <col min="40" max="40" width="10.875" bestFit="1" customWidth="1"/>
    <col min="41" max="41" width="16.75" bestFit="1" customWidth="1"/>
    <col min="42" max="42" width="21.375" bestFit="1" customWidth="1"/>
    <col min="43" max="43" width="21.125" bestFit="1" customWidth="1"/>
    <col min="44" max="44" width="17" bestFit="1" customWidth="1"/>
  </cols>
  <sheetData>
    <row r="1" spans="1:64" ht="1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44</v>
      </c>
      <c r="B2" t="s">
        <v>45</v>
      </c>
      <c r="C2" s="25">
        <v>45498</v>
      </c>
      <c r="D2" s="15">
        <v>290000</v>
      </c>
      <c r="E2" t="s">
        <v>46</v>
      </c>
      <c r="F2" t="s">
        <v>47</v>
      </c>
      <c r="G2" s="15">
        <v>290000</v>
      </c>
      <c r="H2" s="15">
        <v>119900</v>
      </c>
      <c r="I2" s="20">
        <f t="shared" ref="I2:I9" si="0">H2/G2*100</f>
        <v>41.344827586206897</v>
      </c>
      <c r="J2" s="15">
        <v>263398</v>
      </c>
      <c r="K2" s="15">
        <f>G2-236726</f>
        <v>53274</v>
      </c>
      <c r="L2" s="15">
        <v>26672</v>
      </c>
      <c r="M2" s="30">
        <v>0</v>
      </c>
      <c r="N2" s="34">
        <v>0</v>
      </c>
      <c r="O2" s="39">
        <v>1.36</v>
      </c>
      <c r="P2" s="39">
        <v>1.36</v>
      </c>
      <c r="Q2" s="15" t="e">
        <f t="shared" ref="Q2:Q9" si="1">K2/M2</f>
        <v>#DIV/0!</v>
      </c>
      <c r="R2" s="15">
        <f t="shared" ref="R2:R9" si="2">K2/O2</f>
        <v>39172.058823529405</v>
      </c>
      <c r="S2" s="44">
        <f t="shared" ref="S2:S9" si="3">K2/O2/43560</f>
        <v>0.89926673148598268</v>
      </c>
      <c r="T2" s="39">
        <v>0</v>
      </c>
      <c r="U2" s="5" t="s">
        <v>48</v>
      </c>
      <c r="V2" t="s">
        <v>49</v>
      </c>
      <c r="X2" t="s">
        <v>50</v>
      </c>
      <c r="Y2">
        <v>0</v>
      </c>
      <c r="Z2">
        <v>1</v>
      </c>
      <c r="AA2" s="6">
        <v>41904</v>
      </c>
      <c r="AC2" s="7" t="s">
        <v>51</v>
      </c>
      <c r="AL2" s="2"/>
      <c r="BC2" s="2"/>
      <c r="BE2" s="2"/>
    </row>
    <row r="3" spans="1:64">
      <c r="A3" t="s">
        <v>52</v>
      </c>
      <c r="B3" t="s">
        <v>53</v>
      </c>
      <c r="C3" s="25">
        <v>45124</v>
      </c>
      <c r="D3" s="15">
        <v>360000</v>
      </c>
      <c r="E3" t="s">
        <v>46</v>
      </c>
      <c r="F3" t="s">
        <v>47</v>
      </c>
      <c r="G3" s="15">
        <v>360000</v>
      </c>
      <c r="H3" s="15">
        <v>127800</v>
      </c>
      <c r="I3" s="20">
        <f t="shared" si="0"/>
        <v>35.5</v>
      </c>
      <c r="J3" s="15">
        <v>339608</v>
      </c>
      <c r="K3" s="15">
        <f>G3-311656</f>
        <v>48344</v>
      </c>
      <c r="L3" s="15">
        <v>27952</v>
      </c>
      <c r="M3" s="30">
        <v>337.62</v>
      </c>
      <c r="N3" s="34">
        <v>0</v>
      </c>
      <c r="O3" s="39">
        <v>1.56</v>
      </c>
      <c r="P3" s="39">
        <v>1.56</v>
      </c>
      <c r="Q3" s="15">
        <f t="shared" si="1"/>
        <v>143.19056927907116</v>
      </c>
      <c r="R3" s="15">
        <f t="shared" si="2"/>
        <v>30989.74358974359</v>
      </c>
      <c r="S3" s="44">
        <f t="shared" si="3"/>
        <v>0.71142662051752958</v>
      </c>
      <c r="T3" s="39">
        <v>337.62</v>
      </c>
      <c r="U3" s="5" t="s">
        <v>48</v>
      </c>
      <c r="V3" t="s">
        <v>54</v>
      </c>
      <c r="X3" t="s">
        <v>50</v>
      </c>
      <c r="Y3">
        <v>0</v>
      </c>
      <c r="Z3">
        <v>1</v>
      </c>
      <c r="AA3" s="6">
        <v>41904</v>
      </c>
      <c r="AC3" s="7" t="s">
        <v>51</v>
      </c>
    </row>
    <row r="4" spans="1:64">
      <c r="A4" t="s">
        <v>55</v>
      </c>
      <c r="B4" t="s">
        <v>56</v>
      </c>
      <c r="C4" s="25">
        <v>45079</v>
      </c>
      <c r="D4" s="15">
        <v>250000</v>
      </c>
      <c r="E4" t="s">
        <v>46</v>
      </c>
      <c r="F4" t="s">
        <v>47</v>
      </c>
      <c r="G4" s="15">
        <v>250000</v>
      </c>
      <c r="H4" s="15">
        <v>101400</v>
      </c>
      <c r="I4" s="20">
        <f t="shared" si="0"/>
        <v>40.56</v>
      </c>
      <c r="J4" s="15">
        <v>265502</v>
      </c>
      <c r="K4" s="15">
        <f>G4-239355</f>
        <v>10645</v>
      </c>
      <c r="L4" s="15">
        <v>26147</v>
      </c>
      <c r="M4" s="30">
        <v>0</v>
      </c>
      <c r="N4" s="34">
        <v>0</v>
      </c>
      <c r="O4" s="39">
        <v>1.2589999999999999</v>
      </c>
      <c r="P4" s="39">
        <v>1.2589999999999999</v>
      </c>
      <c r="Q4" s="15" t="e">
        <f t="shared" si="1"/>
        <v>#DIV/0!</v>
      </c>
      <c r="R4" s="15">
        <f t="shared" si="2"/>
        <v>8455.123113582209</v>
      </c>
      <c r="S4" s="44">
        <f t="shared" si="3"/>
        <v>0.19410291812631333</v>
      </c>
      <c r="T4" s="39">
        <v>0</v>
      </c>
      <c r="U4" s="5" t="s">
        <v>48</v>
      </c>
      <c r="V4" t="s">
        <v>57</v>
      </c>
      <c r="X4" t="s">
        <v>50</v>
      </c>
      <c r="Y4">
        <v>0</v>
      </c>
      <c r="Z4">
        <v>1</v>
      </c>
      <c r="AA4" s="6">
        <v>42873</v>
      </c>
      <c r="AC4" s="7" t="s">
        <v>51</v>
      </c>
    </row>
    <row r="5" spans="1:64">
      <c r="A5" t="s">
        <v>58</v>
      </c>
      <c r="B5" t="s">
        <v>59</v>
      </c>
      <c r="C5" s="25">
        <v>45259</v>
      </c>
      <c r="D5" s="15">
        <v>140000</v>
      </c>
      <c r="E5" t="s">
        <v>46</v>
      </c>
      <c r="F5" t="s">
        <v>47</v>
      </c>
      <c r="G5" s="15">
        <v>140000</v>
      </c>
      <c r="H5" s="15">
        <v>47800</v>
      </c>
      <c r="I5" s="20">
        <f t="shared" si="0"/>
        <v>34.142857142857139</v>
      </c>
      <c r="J5" s="15">
        <v>126916</v>
      </c>
      <c r="K5" s="15">
        <f>G5-101648</f>
        <v>38352</v>
      </c>
      <c r="L5" s="15">
        <v>25268</v>
      </c>
      <c r="M5" s="30">
        <v>0</v>
      </c>
      <c r="N5" s="34">
        <v>0</v>
      </c>
      <c r="O5" s="39">
        <v>1.1850000000000001</v>
      </c>
      <c r="P5" s="39">
        <v>1.1850000000000001</v>
      </c>
      <c r="Q5" s="15" t="e">
        <f t="shared" si="1"/>
        <v>#DIV/0!</v>
      </c>
      <c r="R5" s="15">
        <f t="shared" si="2"/>
        <v>32364.556962025315</v>
      </c>
      <c r="S5" s="44">
        <f t="shared" si="3"/>
        <v>0.74298799270030569</v>
      </c>
      <c r="T5" s="39">
        <v>0</v>
      </c>
      <c r="U5" s="5" t="s">
        <v>48</v>
      </c>
      <c r="V5" t="s">
        <v>60</v>
      </c>
      <c r="X5" t="s">
        <v>50</v>
      </c>
      <c r="Y5">
        <v>0</v>
      </c>
      <c r="Z5">
        <v>1</v>
      </c>
      <c r="AA5" s="6">
        <v>42909</v>
      </c>
      <c r="AC5" s="7" t="s">
        <v>51</v>
      </c>
    </row>
    <row r="6" spans="1:64">
      <c r="A6" t="s">
        <v>61</v>
      </c>
      <c r="B6" t="s">
        <v>62</v>
      </c>
      <c r="C6" s="25">
        <v>45601</v>
      </c>
      <c r="D6" s="15">
        <v>18000</v>
      </c>
      <c r="E6" t="s">
        <v>46</v>
      </c>
      <c r="F6" t="s">
        <v>47</v>
      </c>
      <c r="G6" s="15">
        <v>18000</v>
      </c>
      <c r="H6" s="15">
        <v>11700</v>
      </c>
      <c r="I6" s="20">
        <f t="shared" si="0"/>
        <v>65</v>
      </c>
      <c r="J6" s="15">
        <v>25268</v>
      </c>
      <c r="K6" s="15">
        <f>G6-0</f>
        <v>18000</v>
      </c>
      <c r="L6" s="15">
        <v>25268</v>
      </c>
      <c r="M6" s="30">
        <v>212</v>
      </c>
      <c r="N6" s="34">
        <v>0</v>
      </c>
      <c r="O6" s="39">
        <v>1.0900000000000001</v>
      </c>
      <c r="P6" s="39">
        <v>1.0900000000000001</v>
      </c>
      <c r="Q6" s="15">
        <f t="shared" si="1"/>
        <v>84.905660377358487</v>
      </c>
      <c r="R6" s="15">
        <f t="shared" si="2"/>
        <v>16513.761467889908</v>
      </c>
      <c r="S6" s="44">
        <f t="shared" si="3"/>
        <v>0.37910379862006216</v>
      </c>
      <c r="T6" s="39">
        <v>212</v>
      </c>
      <c r="U6" s="5" t="s">
        <v>48</v>
      </c>
      <c r="V6" t="s">
        <v>63</v>
      </c>
      <c r="X6" t="s">
        <v>50</v>
      </c>
      <c r="Y6">
        <v>1</v>
      </c>
      <c r="Z6">
        <v>0</v>
      </c>
      <c r="AA6" s="6">
        <v>42936</v>
      </c>
      <c r="AC6" s="7" t="s">
        <v>64</v>
      </c>
    </row>
    <row r="7" spans="1:64">
      <c r="A7" t="s">
        <v>65</v>
      </c>
      <c r="B7" t="s">
        <v>66</v>
      </c>
      <c r="C7" s="25">
        <v>45330</v>
      </c>
      <c r="D7" s="15">
        <v>294000</v>
      </c>
      <c r="E7" t="s">
        <v>46</v>
      </c>
      <c r="F7" t="s">
        <v>47</v>
      </c>
      <c r="G7" s="15">
        <v>294000</v>
      </c>
      <c r="H7" s="15">
        <v>110400</v>
      </c>
      <c r="I7" s="20">
        <f t="shared" si="0"/>
        <v>37.551020408163268</v>
      </c>
      <c r="J7" s="15">
        <v>290671</v>
      </c>
      <c r="K7" s="15">
        <f>G7-265351</f>
        <v>28649</v>
      </c>
      <c r="L7" s="15">
        <v>25320</v>
      </c>
      <c r="M7" s="30">
        <v>172</v>
      </c>
      <c r="N7" s="34">
        <v>0</v>
      </c>
      <c r="O7" s="39">
        <v>1.1000000000000001</v>
      </c>
      <c r="P7" s="39">
        <v>1.1000000000000001</v>
      </c>
      <c r="Q7" s="15">
        <f t="shared" si="1"/>
        <v>166.56395348837211</v>
      </c>
      <c r="R7" s="15">
        <f t="shared" si="2"/>
        <v>26044.545454545452</v>
      </c>
      <c r="S7" s="44">
        <f t="shared" si="3"/>
        <v>0.59790049252859168</v>
      </c>
      <c r="T7" s="39">
        <v>172</v>
      </c>
      <c r="U7" s="5" t="s">
        <v>48</v>
      </c>
      <c r="V7" t="s">
        <v>67</v>
      </c>
      <c r="X7" t="s">
        <v>50</v>
      </c>
      <c r="Y7">
        <v>1</v>
      </c>
      <c r="Z7">
        <v>0</v>
      </c>
      <c r="AA7" s="6">
        <v>42969</v>
      </c>
      <c r="AC7" s="7" t="s">
        <v>51</v>
      </c>
    </row>
    <row r="8" spans="1:64">
      <c r="A8" t="s">
        <v>68</v>
      </c>
      <c r="B8" t="s">
        <v>69</v>
      </c>
      <c r="C8" s="25">
        <v>45373</v>
      </c>
      <c r="D8" s="15">
        <v>289000</v>
      </c>
      <c r="E8" t="s">
        <v>46</v>
      </c>
      <c r="F8" t="s">
        <v>47</v>
      </c>
      <c r="G8" s="15">
        <v>289000</v>
      </c>
      <c r="H8" s="15">
        <v>97000</v>
      </c>
      <c r="I8" s="20">
        <f t="shared" si="0"/>
        <v>33.564013840830448</v>
      </c>
      <c r="J8" s="15">
        <v>253957</v>
      </c>
      <c r="K8" s="15">
        <f>G8-228637</f>
        <v>60363</v>
      </c>
      <c r="L8" s="15">
        <v>25320</v>
      </c>
      <c r="M8" s="30">
        <v>435</v>
      </c>
      <c r="N8" s="34">
        <v>0</v>
      </c>
      <c r="O8" s="39">
        <v>1.1000000000000001</v>
      </c>
      <c r="P8" s="39">
        <v>1.1000000000000001</v>
      </c>
      <c r="Q8" s="15">
        <f t="shared" si="1"/>
        <v>138.76551724137931</v>
      </c>
      <c r="R8" s="15">
        <f t="shared" si="2"/>
        <v>54875.454545454544</v>
      </c>
      <c r="S8" s="44">
        <f t="shared" si="3"/>
        <v>1.2597670924117206</v>
      </c>
      <c r="T8" s="39">
        <v>435</v>
      </c>
      <c r="U8" s="5" t="s">
        <v>48</v>
      </c>
      <c r="V8" t="s">
        <v>70</v>
      </c>
      <c r="X8" t="s">
        <v>50</v>
      </c>
      <c r="Y8">
        <v>1</v>
      </c>
      <c r="Z8">
        <v>0</v>
      </c>
      <c r="AA8" s="6">
        <v>42969</v>
      </c>
      <c r="AC8" s="7" t="s">
        <v>51</v>
      </c>
    </row>
    <row r="9" spans="1:64" ht="15" thickBot="1">
      <c r="A9" t="s">
        <v>75</v>
      </c>
      <c r="B9" t="s">
        <v>72</v>
      </c>
      <c r="C9" s="25">
        <v>45383</v>
      </c>
      <c r="D9" s="15">
        <v>320000</v>
      </c>
      <c r="E9" t="s">
        <v>46</v>
      </c>
      <c r="F9" t="s">
        <v>73</v>
      </c>
      <c r="G9" s="15">
        <v>320000</v>
      </c>
      <c r="H9" s="15">
        <v>176300</v>
      </c>
      <c r="I9" s="20">
        <f t="shared" si="0"/>
        <v>55.09375</v>
      </c>
      <c r="J9" s="15">
        <v>349304</v>
      </c>
      <c r="K9" s="15">
        <f>G9-296504</f>
        <v>23496</v>
      </c>
      <c r="L9" s="15">
        <v>52800</v>
      </c>
      <c r="M9" s="30">
        <v>0</v>
      </c>
      <c r="N9" s="34">
        <v>0</v>
      </c>
      <c r="O9" s="39">
        <v>3</v>
      </c>
      <c r="P9" s="39">
        <v>1.74</v>
      </c>
      <c r="Q9" s="15" t="e">
        <f t="shared" si="1"/>
        <v>#DIV/0!</v>
      </c>
      <c r="R9" s="15">
        <f t="shared" si="2"/>
        <v>7832</v>
      </c>
      <c r="S9" s="44">
        <f t="shared" si="3"/>
        <v>0.17979797979797979</v>
      </c>
      <c r="T9" s="39">
        <v>0</v>
      </c>
      <c r="U9" s="5" t="s">
        <v>48</v>
      </c>
      <c r="V9" t="s">
        <v>74</v>
      </c>
      <c r="W9" t="s">
        <v>71</v>
      </c>
      <c r="X9" t="s">
        <v>50</v>
      </c>
      <c r="Y9">
        <v>0</v>
      </c>
      <c r="Z9">
        <v>1</v>
      </c>
      <c r="AA9" s="6">
        <v>43038</v>
      </c>
      <c r="AC9" s="7" t="s">
        <v>51</v>
      </c>
    </row>
    <row r="10" spans="1:64" ht="15.75" thickTop="1">
      <c r="A10" s="8"/>
      <c r="B10" s="8"/>
      <c r="C10" s="26" t="s">
        <v>76</v>
      </c>
      <c r="D10" s="16">
        <f>+SUM(D2:D9)</f>
        <v>1961000</v>
      </c>
      <c r="E10" s="8"/>
      <c r="F10" s="8"/>
      <c r="G10" s="16">
        <f>+SUM(G2:G9)</f>
        <v>1961000</v>
      </c>
      <c r="H10" s="16">
        <f>+SUM(H2:H9)</f>
        <v>792300</v>
      </c>
      <c r="I10" s="21"/>
      <c r="J10" s="16">
        <f>+SUM(J2:J9)</f>
        <v>1914624</v>
      </c>
      <c r="K10" s="16">
        <f>+SUM(K2:K9)</f>
        <v>281123</v>
      </c>
      <c r="L10" s="16">
        <f>+SUM(L2:L9)</f>
        <v>234747</v>
      </c>
      <c r="M10" s="31">
        <f>+SUM(M2:M9)</f>
        <v>1156.6199999999999</v>
      </c>
      <c r="N10" s="35"/>
      <c r="O10" s="40">
        <f>+SUM(O2:O9)</f>
        <v>11.654</v>
      </c>
      <c r="P10" s="40">
        <f>+SUM(P2:P9)</f>
        <v>10.394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64" ht="15">
      <c r="A11" s="10"/>
      <c r="B11" s="10"/>
      <c r="C11" s="27"/>
      <c r="D11" s="17"/>
      <c r="E11" s="10"/>
      <c r="F11" s="10"/>
      <c r="G11" s="17"/>
      <c r="H11" s="17" t="s">
        <v>77</v>
      </c>
      <c r="I11" s="22">
        <f>H10/G10*100</f>
        <v>40.402855685874556</v>
      </c>
      <c r="J11" s="17"/>
      <c r="K11" s="17"/>
      <c r="L11" s="17" t="s">
        <v>78</v>
      </c>
      <c r="M11" s="32"/>
      <c r="N11" s="36"/>
      <c r="O11" s="41" t="s">
        <v>78</v>
      </c>
      <c r="P11" s="41"/>
      <c r="Q11" s="17"/>
      <c r="R11" s="17" t="s">
        <v>78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64" ht="15">
      <c r="A12" s="12"/>
      <c r="B12" s="12"/>
      <c r="C12" s="28"/>
      <c r="D12" s="18"/>
      <c r="E12" s="12"/>
      <c r="F12" s="12"/>
      <c r="G12" s="18"/>
      <c r="H12" s="18" t="s">
        <v>79</v>
      </c>
      <c r="I12" s="23">
        <f>STDEV(I2:I9)</f>
        <v>11.289608885966754</v>
      </c>
      <c r="J12" s="18"/>
      <c r="K12" s="18"/>
      <c r="L12" s="18" t="s">
        <v>80</v>
      </c>
      <c r="M12" s="48">
        <f>K10/M10</f>
        <v>243.05562760457195</v>
      </c>
      <c r="N12" s="37"/>
      <c r="O12" s="42" t="s">
        <v>81</v>
      </c>
      <c r="P12" s="42">
        <f>K10/O10</f>
        <v>24122.447228419427</v>
      </c>
      <c r="Q12" s="18"/>
      <c r="R12" s="18" t="s">
        <v>82</v>
      </c>
      <c r="S12" s="47">
        <f>K10/O10/43560</f>
        <v>0.55377518889851762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4" spans="1:64">
      <c r="A14" t="s">
        <v>83</v>
      </c>
    </row>
  </sheetData>
  <sheetProtection password="C7B3" sheet="1" objects="1" scenarios="1"/>
  <conditionalFormatting sqref="A2:AR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2026-01-27T21:04:17Z</dcterms:created>
  <dcterms:modified xsi:type="dcterms:W3CDTF">2026-03-09T22:47:01Z</dcterms:modified>
</cp:coreProperties>
</file>